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kofron/Downloads/"/>
    </mc:Choice>
  </mc:AlternateContent>
  <xr:revisionPtr revIDLastSave="0" documentId="13_ncr:1_{9F29EE42-F2C1-844F-BEA7-B0010D6C465A}" xr6:coauthVersionLast="47" xr6:coauthVersionMax="47" xr10:uidLastSave="{00000000-0000-0000-0000-000000000000}"/>
  <bookViews>
    <workbookView xWindow="0" yWindow="580" windowWidth="25600" windowHeight="14760" xr2:uid="{A72E03D9-4E03-3042-918E-FA72F3BB8587}"/>
  </bookViews>
  <sheets>
    <sheet name="Info_intro" sheetId="4" r:id="rId1"/>
    <sheet name="Model" sheetId="1" r:id="rId2"/>
    <sheet name="Vstupní hodnoty" sheetId="2" r:id="rId3"/>
    <sheet name="Roční bonus alt 2" sheetId="6" r:id="rId4"/>
    <sheet name="Vícenáklady" sheetId="5" r:id="rId5"/>
    <sheet name="Sheet1" sheetId="7" r:id="rId6"/>
  </sheets>
  <definedNames>
    <definedName name="EU_Conscription_Overview_1" localSheetId="5">Sheet1!$A$1:$E$8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BB4" i="1"/>
  <c r="AQ3" i="1"/>
  <c r="AO9" i="1"/>
  <c r="AO11" i="1"/>
  <c r="AO17" i="1"/>
  <c r="AO19" i="1"/>
  <c r="AO25" i="1"/>
  <c r="AO27" i="1"/>
  <c r="AO33" i="1"/>
  <c r="AO35" i="1"/>
  <c r="AO41" i="1"/>
  <c r="AO43" i="1"/>
  <c r="AO49" i="1"/>
  <c r="AO51" i="1"/>
  <c r="AO57" i="1"/>
  <c r="AO59" i="1"/>
  <c r="AO65" i="1"/>
  <c r="AO67" i="1"/>
  <c r="AO73" i="1"/>
  <c r="AO75" i="1"/>
  <c r="AO3" i="1"/>
  <c r="AO4" i="1"/>
  <c r="AO5" i="1"/>
  <c r="AO6" i="1"/>
  <c r="V4" i="2"/>
  <c r="P4" i="2"/>
  <c r="N6" i="2"/>
  <c r="AO26" i="1" s="1"/>
  <c r="N5" i="2"/>
  <c r="AO18" i="1" s="1"/>
  <c r="N4" i="2"/>
  <c r="AO10" i="1" s="1"/>
  <c r="L101" i="5"/>
  <c r="D101" i="5"/>
  <c r="J5" i="1"/>
  <c r="F3" i="1"/>
  <c r="E20" i="5"/>
  <c r="D5" i="5"/>
  <c r="D8" i="5" s="1"/>
  <c r="D12" i="5"/>
  <c r="D15" i="5" s="1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G20" i="5"/>
  <c r="D92" i="5"/>
  <c r="L92" i="5"/>
  <c r="P22" i="5"/>
  <c r="P25" i="5"/>
  <c r="P27" i="5"/>
  <c r="P29" i="5"/>
  <c r="P33" i="5"/>
  <c r="P35" i="5"/>
  <c r="P37" i="5"/>
  <c r="P38" i="5"/>
  <c r="P41" i="5"/>
  <c r="P43" i="5"/>
  <c r="P45" i="5"/>
  <c r="P46" i="5"/>
  <c r="P49" i="5"/>
  <c r="P51" i="5"/>
  <c r="P53" i="5"/>
  <c r="P54" i="5"/>
  <c r="P57" i="5"/>
  <c r="P59" i="5"/>
  <c r="P61" i="5"/>
  <c r="P62" i="5"/>
  <c r="P65" i="5"/>
  <c r="P67" i="5"/>
  <c r="P69" i="5"/>
  <c r="P70" i="5"/>
  <c r="O20" i="5"/>
  <c r="M8" i="5"/>
  <c r="M9" i="5" s="1"/>
  <c r="M7" i="5"/>
  <c r="M6" i="5"/>
  <c r="M5" i="5"/>
  <c r="M4" i="5"/>
  <c r="M3" i="5"/>
  <c r="L9" i="5"/>
  <c r="E19" i="5"/>
  <c r="D14" i="5"/>
  <c r="D13" i="5"/>
  <c r="D11" i="5"/>
  <c r="D7" i="5"/>
  <c r="D6" i="5"/>
  <c r="D4" i="5"/>
  <c r="L100" i="5"/>
  <c r="D100" i="5"/>
  <c r="L99" i="5"/>
  <c r="D99" i="5"/>
  <c r="L98" i="5"/>
  <c r="D98" i="5"/>
  <c r="L97" i="5"/>
  <c r="D97" i="5"/>
  <c r="P96" i="5"/>
  <c r="O96" i="5"/>
  <c r="H96" i="5"/>
  <c r="G96" i="5"/>
  <c r="L91" i="5"/>
  <c r="D91" i="5"/>
  <c r="O90" i="5"/>
  <c r="M90" i="5"/>
  <c r="G90" i="5"/>
  <c r="O89" i="5"/>
  <c r="M89" i="5"/>
  <c r="G89" i="5"/>
  <c r="O88" i="5"/>
  <c r="M88" i="5"/>
  <c r="G88" i="5"/>
  <c r="O87" i="5"/>
  <c r="M87" i="5"/>
  <c r="G87" i="5"/>
  <c r="O86" i="5"/>
  <c r="M86" i="5"/>
  <c r="G86" i="5"/>
  <c r="O85" i="5"/>
  <c r="M85" i="5"/>
  <c r="G85" i="5"/>
  <c r="O84" i="5"/>
  <c r="M84" i="5"/>
  <c r="G84" i="5"/>
  <c r="O83" i="5"/>
  <c r="M83" i="5"/>
  <c r="G83" i="5"/>
  <c r="O82" i="5"/>
  <c r="M82" i="5"/>
  <c r="G82" i="5"/>
  <c r="O81" i="5"/>
  <c r="M81" i="5"/>
  <c r="G81" i="5"/>
  <c r="O80" i="5"/>
  <c r="M80" i="5"/>
  <c r="G80" i="5"/>
  <c r="O79" i="5"/>
  <c r="M79" i="5"/>
  <c r="G79" i="5"/>
  <c r="O78" i="5"/>
  <c r="M78" i="5"/>
  <c r="G78" i="5"/>
  <c r="O77" i="5"/>
  <c r="M77" i="5"/>
  <c r="G77" i="5"/>
  <c r="O76" i="5"/>
  <c r="M76" i="5"/>
  <c r="G76" i="5"/>
  <c r="O75" i="5"/>
  <c r="M75" i="5"/>
  <c r="G75" i="5"/>
  <c r="O74" i="5"/>
  <c r="M74" i="5"/>
  <c r="G74" i="5"/>
  <c r="O73" i="5"/>
  <c r="M73" i="5"/>
  <c r="G73" i="5"/>
  <c r="O72" i="5"/>
  <c r="M72" i="5"/>
  <c r="G72" i="5"/>
  <c r="O71" i="5"/>
  <c r="M71" i="5"/>
  <c r="G71" i="5"/>
  <c r="O70" i="5"/>
  <c r="M70" i="5"/>
  <c r="G70" i="5"/>
  <c r="O69" i="5"/>
  <c r="M69" i="5"/>
  <c r="G69" i="5"/>
  <c r="O68" i="5"/>
  <c r="M68" i="5"/>
  <c r="G68" i="5"/>
  <c r="O67" i="5"/>
  <c r="M67" i="5"/>
  <c r="G67" i="5"/>
  <c r="O66" i="5"/>
  <c r="M66" i="5"/>
  <c r="G66" i="5"/>
  <c r="O65" i="5"/>
  <c r="M65" i="5"/>
  <c r="G65" i="5"/>
  <c r="O64" i="5"/>
  <c r="M64" i="5"/>
  <c r="G64" i="5"/>
  <c r="O63" i="5"/>
  <c r="M63" i="5"/>
  <c r="G63" i="5"/>
  <c r="O62" i="5"/>
  <c r="M62" i="5"/>
  <c r="G62" i="5"/>
  <c r="O61" i="5"/>
  <c r="M61" i="5"/>
  <c r="G61" i="5"/>
  <c r="O60" i="5"/>
  <c r="M60" i="5"/>
  <c r="G60" i="5"/>
  <c r="O59" i="5"/>
  <c r="M59" i="5"/>
  <c r="G59" i="5"/>
  <c r="O58" i="5"/>
  <c r="M58" i="5"/>
  <c r="G58" i="5"/>
  <c r="O57" i="5"/>
  <c r="M57" i="5"/>
  <c r="G57" i="5"/>
  <c r="O56" i="5"/>
  <c r="M56" i="5"/>
  <c r="G56" i="5"/>
  <c r="O55" i="5"/>
  <c r="O100" i="5" s="1"/>
  <c r="M55" i="5"/>
  <c r="G55" i="5"/>
  <c r="O54" i="5"/>
  <c r="M54" i="5"/>
  <c r="G54" i="5"/>
  <c r="O53" i="5"/>
  <c r="M53" i="5"/>
  <c r="G53" i="5"/>
  <c r="O52" i="5"/>
  <c r="M52" i="5"/>
  <c r="G52" i="5"/>
  <c r="O51" i="5"/>
  <c r="M51" i="5"/>
  <c r="G51" i="5"/>
  <c r="O50" i="5"/>
  <c r="M50" i="5"/>
  <c r="G50" i="5"/>
  <c r="O49" i="5"/>
  <c r="M49" i="5"/>
  <c r="G49" i="5"/>
  <c r="O48" i="5"/>
  <c r="M48" i="5"/>
  <c r="G48" i="5"/>
  <c r="O47" i="5"/>
  <c r="M47" i="5"/>
  <c r="G47" i="5"/>
  <c r="O46" i="5"/>
  <c r="M46" i="5"/>
  <c r="G46" i="5"/>
  <c r="O45" i="5"/>
  <c r="M45" i="5"/>
  <c r="G45" i="5"/>
  <c r="O44" i="5"/>
  <c r="M44" i="5"/>
  <c r="G44" i="5"/>
  <c r="O43" i="5"/>
  <c r="M43" i="5"/>
  <c r="G43" i="5"/>
  <c r="O42" i="5"/>
  <c r="M42" i="5"/>
  <c r="G42" i="5"/>
  <c r="O41" i="5"/>
  <c r="M41" i="5"/>
  <c r="G41" i="5"/>
  <c r="O40" i="5"/>
  <c r="M40" i="5"/>
  <c r="G40" i="5"/>
  <c r="O39" i="5"/>
  <c r="M39" i="5"/>
  <c r="G39" i="5"/>
  <c r="O38" i="5"/>
  <c r="M38" i="5"/>
  <c r="G38" i="5"/>
  <c r="O37" i="5"/>
  <c r="M37" i="5"/>
  <c r="G37" i="5"/>
  <c r="O36" i="5"/>
  <c r="M36" i="5"/>
  <c r="G36" i="5"/>
  <c r="O35" i="5"/>
  <c r="M35" i="5"/>
  <c r="G35" i="5"/>
  <c r="O34" i="5"/>
  <c r="M34" i="5"/>
  <c r="G34" i="5"/>
  <c r="O33" i="5"/>
  <c r="M33" i="5"/>
  <c r="G33" i="5"/>
  <c r="O32" i="5"/>
  <c r="M32" i="5"/>
  <c r="G32" i="5"/>
  <c r="O31" i="5"/>
  <c r="M31" i="5"/>
  <c r="G31" i="5"/>
  <c r="O30" i="5"/>
  <c r="M30" i="5"/>
  <c r="G30" i="5"/>
  <c r="O29" i="5"/>
  <c r="M29" i="5"/>
  <c r="G29" i="5"/>
  <c r="O28" i="5"/>
  <c r="M28" i="5"/>
  <c r="G28" i="5"/>
  <c r="O27" i="5"/>
  <c r="O98" i="5" s="1"/>
  <c r="M27" i="5"/>
  <c r="M98" i="5" s="1"/>
  <c r="E12" i="5" s="1"/>
  <c r="G27" i="5"/>
  <c r="G98" i="5" s="1"/>
  <c r="O26" i="5"/>
  <c r="M26" i="5"/>
  <c r="G26" i="5"/>
  <c r="O25" i="5"/>
  <c r="M25" i="5"/>
  <c r="G25" i="5"/>
  <c r="O24" i="5"/>
  <c r="M24" i="5"/>
  <c r="G24" i="5"/>
  <c r="O23" i="5"/>
  <c r="M23" i="5"/>
  <c r="G23" i="5"/>
  <c r="O22" i="5"/>
  <c r="M22" i="5"/>
  <c r="G22" i="5"/>
  <c r="O21" i="5"/>
  <c r="M21" i="5"/>
  <c r="G21" i="5"/>
  <c r="M20" i="5"/>
  <c r="Q19" i="5"/>
  <c r="M19" i="5"/>
  <c r="I19" i="5"/>
  <c r="D5" i="6"/>
  <c r="BB6" i="1" s="1"/>
  <c r="C5" i="6"/>
  <c r="D4" i="6"/>
  <c r="BB5" i="1" s="1"/>
  <c r="C4" i="6"/>
  <c r="D3" i="6"/>
  <c r="C3" i="6"/>
  <c r="F2" i="6"/>
  <c r="B2" i="6" s="1"/>
  <c r="D2" i="6"/>
  <c r="BB3" i="1" s="1"/>
  <c r="C2" i="6"/>
  <c r="V8" i="2"/>
  <c r="Q8" i="2" s="1"/>
  <c r="U8" i="2"/>
  <c r="V7" i="2"/>
  <c r="U7" i="2"/>
  <c r="Q7" i="2"/>
  <c r="V6" i="2"/>
  <c r="Q6" i="2" s="1"/>
  <c r="U6" i="2"/>
  <c r="P6" i="2"/>
  <c r="V5" i="2"/>
  <c r="U5" i="2"/>
  <c r="Q5" i="2"/>
  <c r="P5" i="2"/>
  <c r="P28" i="5" s="1"/>
  <c r="U4" i="2"/>
  <c r="Q4" i="2"/>
  <c r="N25" i="5" s="1"/>
  <c r="BC77" i="1"/>
  <c r="AZ77" i="1"/>
  <c r="AY77" i="1"/>
  <c r="AQ77" i="1"/>
  <c r="AP77" i="1"/>
  <c r="AM77" i="1"/>
  <c r="AL77" i="1"/>
  <c r="AD77" i="1"/>
  <c r="AC77" i="1"/>
  <c r="AB77" i="1"/>
  <c r="Z77" i="1"/>
  <c r="Y77" i="1"/>
  <c r="J77" i="1"/>
  <c r="I77" i="1"/>
  <c r="H77" i="1"/>
  <c r="F77" i="1"/>
  <c r="E77" i="1"/>
  <c r="BC76" i="1"/>
  <c r="AZ76" i="1"/>
  <c r="AY76" i="1"/>
  <c r="AQ76" i="1"/>
  <c r="AP76" i="1"/>
  <c r="AM76" i="1"/>
  <c r="AL76" i="1"/>
  <c r="AD76" i="1"/>
  <c r="AC76" i="1"/>
  <c r="AB76" i="1"/>
  <c r="Z76" i="1"/>
  <c r="Y76" i="1"/>
  <c r="J76" i="1"/>
  <c r="I76" i="1"/>
  <c r="H76" i="1"/>
  <c r="F76" i="1"/>
  <c r="E76" i="1"/>
  <c r="BC75" i="1"/>
  <c r="AZ75" i="1"/>
  <c r="AY75" i="1"/>
  <c r="AQ75" i="1"/>
  <c r="AP75" i="1"/>
  <c r="AM75" i="1"/>
  <c r="AL75" i="1"/>
  <c r="AD75" i="1"/>
  <c r="AC75" i="1"/>
  <c r="AB75" i="1"/>
  <c r="Z75" i="1"/>
  <c r="Y75" i="1"/>
  <c r="J75" i="1"/>
  <c r="I75" i="1"/>
  <c r="H75" i="1"/>
  <c r="F75" i="1"/>
  <c r="E75" i="1"/>
  <c r="BC74" i="1"/>
  <c r="AZ74" i="1"/>
  <c r="AY74" i="1"/>
  <c r="AQ74" i="1"/>
  <c r="AP74" i="1"/>
  <c r="AM74" i="1"/>
  <c r="AL74" i="1"/>
  <c r="AD74" i="1"/>
  <c r="AC74" i="1"/>
  <c r="AB74" i="1"/>
  <c r="Z74" i="1"/>
  <c r="Y74" i="1"/>
  <c r="J74" i="1"/>
  <c r="I74" i="1"/>
  <c r="H74" i="1"/>
  <c r="F74" i="1"/>
  <c r="E74" i="1"/>
  <c r="BC73" i="1"/>
  <c r="AZ73" i="1"/>
  <c r="AY73" i="1"/>
  <c r="AQ73" i="1"/>
  <c r="AP73" i="1"/>
  <c r="AM73" i="1"/>
  <c r="AL73" i="1"/>
  <c r="AD73" i="1"/>
  <c r="AC73" i="1"/>
  <c r="AB73" i="1"/>
  <c r="Z73" i="1"/>
  <c r="Y73" i="1"/>
  <c r="J73" i="1"/>
  <c r="I73" i="1"/>
  <c r="H73" i="1"/>
  <c r="F73" i="1"/>
  <c r="E73" i="1"/>
  <c r="BC72" i="1"/>
  <c r="AZ72" i="1"/>
  <c r="AY72" i="1"/>
  <c r="AQ72" i="1"/>
  <c r="AP72" i="1"/>
  <c r="AM72" i="1"/>
  <c r="AL72" i="1"/>
  <c r="AD72" i="1"/>
  <c r="AC72" i="1"/>
  <c r="AB72" i="1"/>
  <c r="Z72" i="1"/>
  <c r="Y72" i="1"/>
  <c r="J72" i="1"/>
  <c r="I72" i="1"/>
  <c r="H72" i="1"/>
  <c r="F72" i="1"/>
  <c r="E72" i="1"/>
  <c r="BC71" i="1"/>
  <c r="AZ71" i="1"/>
  <c r="AY71" i="1"/>
  <c r="AQ71" i="1"/>
  <c r="AP71" i="1"/>
  <c r="AM71" i="1"/>
  <c r="AL71" i="1"/>
  <c r="AD71" i="1"/>
  <c r="AC71" i="1"/>
  <c r="AB71" i="1"/>
  <c r="Z71" i="1"/>
  <c r="Y71" i="1"/>
  <c r="J71" i="1"/>
  <c r="I71" i="1"/>
  <c r="H71" i="1"/>
  <c r="F71" i="1"/>
  <c r="E71" i="1"/>
  <c r="BC70" i="1"/>
  <c r="AZ70" i="1"/>
  <c r="AY70" i="1"/>
  <c r="AQ70" i="1"/>
  <c r="AP70" i="1"/>
  <c r="AM70" i="1"/>
  <c r="AL70" i="1"/>
  <c r="AD70" i="1"/>
  <c r="AC70" i="1"/>
  <c r="AB70" i="1"/>
  <c r="Z70" i="1"/>
  <c r="Y70" i="1"/>
  <c r="J70" i="1"/>
  <c r="I70" i="1"/>
  <c r="H70" i="1"/>
  <c r="F70" i="1"/>
  <c r="E70" i="1"/>
  <c r="BC69" i="1"/>
  <c r="AZ69" i="1"/>
  <c r="AY69" i="1"/>
  <c r="AQ69" i="1"/>
  <c r="AP69" i="1"/>
  <c r="AM69" i="1"/>
  <c r="AL69" i="1"/>
  <c r="AD69" i="1"/>
  <c r="AC69" i="1"/>
  <c r="AB69" i="1"/>
  <c r="Z69" i="1"/>
  <c r="Y69" i="1"/>
  <c r="J69" i="1"/>
  <c r="I69" i="1"/>
  <c r="H69" i="1"/>
  <c r="F69" i="1"/>
  <c r="E69" i="1"/>
  <c r="BC68" i="1"/>
  <c r="AZ68" i="1"/>
  <c r="AY68" i="1"/>
  <c r="AQ68" i="1"/>
  <c r="AP68" i="1"/>
  <c r="AM68" i="1"/>
  <c r="AL68" i="1"/>
  <c r="AD68" i="1"/>
  <c r="AC68" i="1"/>
  <c r="AB68" i="1"/>
  <c r="Z68" i="1"/>
  <c r="AA68" i="1" s="1"/>
  <c r="Y68" i="1"/>
  <c r="J68" i="1"/>
  <c r="I68" i="1"/>
  <c r="H68" i="1"/>
  <c r="F68" i="1"/>
  <c r="E68" i="1"/>
  <c r="BC67" i="1"/>
  <c r="AZ67" i="1"/>
  <c r="AY67" i="1"/>
  <c r="AQ67" i="1"/>
  <c r="AP67" i="1"/>
  <c r="AM67" i="1"/>
  <c r="AL67" i="1"/>
  <c r="AD67" i="1"/>
  <c r="AC67" i="1"/>
  <c r="AB67" i="1"/>
  <c r="Z67" i="1"/>
  <c r="Y67" i="1"/>
  <c r="J67" i="1"/>
  <c r="I67" i="1"/>
  <c r="H67" i="1"/>
  <c r="F67" i="1"/>
  <c r="E67" i="1"/>
  <c r="BC66" i="1"/>
  <c r="AZ66" i="1"/>
  <c r="AY66" i="1"/>
  <c r="AQ66" i="1"/>
  <c r="AP66" i="1"/>
  <c r="AM66" i="1"/>
  <c r="AL66" i="1"/>
  <c r="AD66" i="1"/>
  <c r="AC66" i="1"/>
  <c r="AB66" i="1"/>
  <c r="Z66" i="1"/>
  <c r="Y66" i="1"/>
  <c r="J66" i="1"/>
  <c r="I66" i="1"/>
  <c r="H66" i="1"/>
  <c r="F66" i="1"/>
  <c r="E66" i="1"/>
  <c r="BC65" i="1"/>
  <c r="AZ65" i="1"/>
  <c r="AY65" i="1"/>
  <c r="AQ65" i="1"/>
  <c r="AP65" i="1"/>
  <c r="AM65" i="1"/>
  <c r="AL65" i="1"/>
  <c r="AD65" i="1"/>
  <c r="AC65" i="1"/>
  <c r="AB65" i="1"/>
  <c r="Z65" i="1"/>
  <c r="Y65" i="1"/>
  <c r="J65" i="1"/>
  <c r="I65" i="1"/>
  <c r="H65" i="1"/>
  <c r="F65" i="1"/>
  <c r="E65" i="1"/>
  <c r="BC64" i="1"/>
  <c r="AZ64" i="1"/>
  <c r="AY64" i="1"/>
  <c r="AQ64" i="1"/>
  <c r="AP64" i="1"/>
  <c r="AM64" i="1"/>
  <c r="AL64" i="1"/>
  <c r="AD64" i="1"/>
  <c r="AC64" i="1"/>
  <c r="AB64" i="1"/>
  <c r="Z64" i="1"/>
  <c r="Y64" i="1"/>
  <c r="J64" i="1"/>
  <c r="I64" i="1"/>
  <c r="H64" i="1"/>
  <c r="F64" i="1"/>
  <c r="E64" i="1"/>
  <c r="BC63" i="1"/>
  <c r="AZ63" i="1"/>
  <c r="AY63" i="1"/>
  <c r="AQ63" i="1"/>
  <c r="AP63" i="1"/>
  <c r="AM63" i="1"/>
  <c r="AL63" i="1"/>
  <c r="AD63" i="1"/>
  <c r="AC63" i="1"/>
  <c r="AB63" i="1"/>
  <c r="Z63" i="1"/>
  <c r="Y63" i="1"/>
  <c r="J63" i="1"/>
  <c r="I63" i="1"/>
  <c r="H63" i="1"/>
  <c r="F63" i="1"/>
  <c r="E63" i="1"/>
  <c r="BC62" i="1"/>
  <c r="AZ62" i="1"/>
  <c r="AY62" i="1"/>
  <c r="AQ62" i="1"/>
  <c r="AP62" i="1"/>
  <c r="AM62" i="1"/>
  <c r="AL62" i="1"/>
  <c r="AD62" i="1"/>
  <c r="AC62" i="1"/>
  <c r="AB62" i="1"/>
  <c r="Z62" i="1"/>
  <c r="Y62" i="1"/>
  <c r="J62" i="1"/>
  <c r="I62" i="1"/>
  <c r="H62" i="1"/>
  <c r="F62" i="1"/>
  <c r="E62" i="1"/>
  <c r="BC61" i="1"/>
  <c r="AZ61" i="1"/>
  <c r="AY61" i="1"/>
  <c r="AQ61" i="1"/>
  <c r="AP61" i="1"/>
  <c r="AM61" i="1"/>
  <c r="AL61" i="1"/>
  <c r="AD61" i="1"/>
  <c r="AC61" i="1"/>
  <c r="AB61" i="1"/>
  <c r="Z61" i="1"/>
  <c r="Y61" i="1"/>
  <c r="J61" i="1"/>
  <c r="I61" i="1"/>
  <c r="H61" i="1"/>
  <c r="F61" i="1"/>
  <c r="E61" i="1"/>
  <c r="BC60" i="1"/>
  <c r="AZ60" i="1"/>
  <c r="AY60" i="1"/>
  <c r="AQ60" i="1"/>
  <c r="AP60" i="1"/>
  <c r="AM60" i="1"/>
  <c r="AL60" i="1"/>
  <c r="AD60" i="1"/>
  <c r="AC60" i="1"/>
  <c r="AB60" i="1"/>
  <c r="Z60" i="1"/>
  <c r="Y60" i="1"/>
  <c r="J60" i="1"/>
  <c r="I60" i="1"/>
  <c r="H60" i="1"/>
  <c r="F60" i="1"/>
  <c r="E60" i="1"/>
  <c r="BC59" i="1"/>
  <c r="AZ59" i="1"/>
  <c r="AY59" i="1"/>
  <c r="AQ59" i="1"/>
  <c r="AP59" i="1"/>
  <c r="AM59" i="1"/>
  <c r="AL59" i="1"/>
  <c r="AD59" i="1"/>
  <c r="AC59" i="1"/>
  <c r="AB59" i="1"/>
  <c r="Z59" i="1"/>
  <c r="Y59" i="1"/>
  <c r="J59" i="1"/>
  <c r="I59" i="1"/>
  <c r="H59" i="1"/>
  <c r="F59" i="1"/>
  <c r="E59" i="1"/>
  <c r="BC58" i="1"/>
  <c r="AZ58" i="1"/>
  <c r="AY58" i="1"/>
  <c r="AQ58" i="1"/>
  <c r="AP58" i="1"/>
  <c r="AM58" i="1"/>
  <c r="AL58" i="1"/>
  <c r="AD58" i="1"/>
  <c r="AC58" i="1"/>
  <c r="AB58" i="1"/>
  <c r="Z58" i="1"/>
  <c r="Y58" i="1"/>
  <c r="J58" i="1"/>
  <c r="I58" i="1"/>
  <c r="H58" i="1"/>
  <c r="F58" i="1"/>
  <c r="E58" i="1"/>
  <c r="BC57" i="1"/>
  <c r="AZ57" i="1"/>
  <c r="AY57" i="1"/>
  <c r="AQ57" i="1"/>
  <c r="AP57" i="1"/>
  <c r="AM57" i="1"/>
  <c r="AL57" i="1"/>
  <c r="AD57" i="1"/>
  <c r="AC57" i="1"/>
  <c r="AB57" i="1"/>
  <c r="Z57" i="1"/>
  <c r="Y57" i="1"/>
  <c r="J57" i="1"/>
  <c r="I57" i="1"/>
  <c r="H57" i="1"/>
  <c r="F57" i="1"/>
  <c r="E57" i="1"/>
  <c r="BC56" i="1"/>
  <c r="AZ56" i="1"/>
  <c r="AY56" i="1"/>
  <c r="AQ56" i="1"/>
  <c r="AP56" i="1"/>
  <c r="AM56" i="1"/>
  <c r="AL56" i="1"/>
  <c r="AD56" i="1"/>
  <c r="AC56" i="1"/>
  <c r="AB56" i="1"/>
  <c r="Z56" i="1"/>
  <c r="Y56" i="1"/>
  <c r="J56" i="1"/>
  <c r="I56" i="1"/>
  <c r="H56" i="1"/>
  <c r="F56" i="1"/>
  <c r="E56" i="1"/>
  <c r="BC55" i="1"/>
  <c r="AZ55" i="1"/>
  <c r="AY55" i="1"/>
  <c r="AQ55" i="1"/>
  <c r="AP55" i="1"/>
  <c r="AM55" i="1"/>
  <c r="AL55" i="1"/>
  <c r="AD55" i="1"/>
  <c r="AC55" i="1"/>
  <c r="AB55" i="1"/>
  <c r="Z55" i="1"/>
  <c r="Y55" i="1"/>
  <c r="J55" i="1"/>
  <c r="I55" i="1"/>
  <c r="H55" i="1"/>
  <c r="F55" i="1"/>
  <c r="E55" i="1"/>
  <c r="BC54" i="1"/>
  <c r="AZ54" i="1"/>
  <c r="AY54" i="1"/>
  <c r="AQ54" i="1"/>
  <c r="AP54" i="1"/>
  <c r="AM54" i="1"/>
  <c r="AL54" i="1"/>
  <c r="AD54" i="1"/>
  <c r="AC54" i="1"/>
  <c r="AB54" i="1"/>
  <c r="Z54" i="1"/>
  <c r="Y54" i="1"/>
  <c r="J54" i="1"/>
  <c r="I54" i="1"/>
  <c r="H54" i="1"/>
  <c r="F54" i="1"/>
  <c r="E54" i="1"/>
  <c r="BC53" i="1"/>
  <c r="AZ53" i="1"/>
  <c r="AY53" i="1"/>
  <c r="AQ53" i="1"/>
  <c r="AP53" i="1"/>
  <c r="AM53" i="1"/>
  <c r="AL53" i="1"/>
  <c r="AD53" i="1"/>
  <c r="AC53" i="1"/>
  <c r="AB53" i="1"/>
  <c r="Z53" i="1"/>
  <c r="Y53" i="1"/>
  <c r="J53" i="1"/>
  <c r="I53" i="1"/>
  <c r="H53" i="1"/>
  <c r="F53" i="1"/>
  <c r="E53" i="1"/>
  <c r="BC52" i="1"/>
  <c r="AZ52" i="1"/>
  <c r="AY52" i="1"/>
  <c r="AQ52" i="1"/>
  <c r="AP52" i="1"/>
  <c r="AM52" i="1"/>
  <c r="AL52" i="1"/>
  <c r="AD52" i="1"/>
  <c r="AC52" i="1"/>
  <c r="AB52" i="1"/>
  <c r="Z52" i="1"/>
  <c r="Y52" i="1"/>
  <c r="J52" i="1"/>
  <c r="I52" i="1"/>
  <c r="H52" i="1"/>
  <c r="F52" i="1"/>
  <c r="E52" i="1"/>
  <c r="BC51" i="1"/>
  <c r="AZ51" i="1"/>
  <c r="AY51" i="1"/>
  <c r="AQ51" i="1"/>
  <c r="AP51" i="1"/>
  <c r="AM51" i="1"/>
  <c r="AL51" i="1"/>
  <c r="AD51" i="1"/>
  <c r="AC51" i="1"/>
  <c r="AB51" i="1"/>
  <c r="Z51" i="1"/>
  <c r="Y51" i="1"/>
  <c r="J51" i="1"/>
  <c r="I51" i="1"/>
  <c r="H51" i="1"/>
  <c r="F51" i="1"/>
  <c r="E51" i="1"/>
  <c r="BC50" i="1"/>
  <c r="AZ50" i="1"/>
  <c r="AY50" i="1"/>
  <c r="AQ50" i="1"/>
  <c r="AP50" i="1"/>
  <c r="AM50" i="1"/>
  <c r="AL50" i="1"/>
  <c r="AD50" i="1"/>
  <c r="AC50" i="1"/>
  <c r="AB50" i="1"/>
  <c r="Z50" i="1"/>
  <c r="Y50" i="1"/>
  <c r="J50" i="1"/>
  <c r="I50" i="1"/>
  <c r="H50" i="1"/>
  <c r="F50" i="1"/>
  <c r="E50" i="1"/>
  <c r="BC49" i="1"/>
  <c r="AZ49" i="1"/>
  <c r="AY49" i="1"/>
  <c r="AQ49" i="1"/>
  <c r="AP49" i="1"/>
  <c r="AM49" i="1"/>
  <c r="AL49" i="1"/>
  <c r="AD49" i="1"/>
  <c r="AC49" i="1"/>
  <c r="AB49" i="1"/>
  <c r="Z49" i="1"/>
  <c r="Y49" i="1"/>
  <c r="J49" i="1"/>
  <c r="I49" i="1"/>
  <c r="H49" i="1"/>
  <c r="F49" i="1"/>
  <c r="E49" i="1"/>
  <c r="BC48" i="1"/>
  <c r="AZ48" i="1"/>
  <c r="AY48" i="1"/>
  <c r="AQ48" i="1"/>
  <c r="AP48" i="1"/>
  <c r="AM48" i="1"/>
  <c r="AL48" i="1"/>
  <c r="AD48" i="1"/>
  <c r="AC48" i="1"/>
  <c r="AB48" i="1"/>
  <c r="Z48" i="1"/>
  <c r="Y48" i="1"/>
  <c r="J48" i="1"/>
  <c r="I48" i="1"/>
  <c r="H48" i="1"/>
  <c r="F48" i="1"/>
  <c r="E48" i="1"/>
  <c r="BC47" i="1"/>
  <c r="AZ47" i="1"/>
  <c r="AY47" i="1"/>
  <c r="AQ47" i="1"/>
  <c r="AP47" i="1"/>
  <c r="AM47" i="1"/>
  <c r="AL47" i="1"/>
  <c r="AD47" i="1"/>
  <c r="AC47" i="1"/>
  <c r="AB47" i="1"/>
  <c r="Z47" i="1"/>
  <c r="Y47" i="1"/>
  <c r="J47" i="1"/>
  <c r="I47" i="1"/>
  <c r="H47" i="1"/>
  <c r="F47" i="1"/>
  <c r="E47" i="1"/>
  <c r="BC46" i="1"/>
  <c r="AZ46" i="1"/>
  <c r="AY46" i="1"/>
  <c r="AQ46" i="1"/>
  <c r="AP46" i="1"/>
  <c r="AM46" i="1"/>
  <c r="AL46" i="1"/>
  <c r="AD46" i="1"/>
  <c r="AC46" i="1"/>
  <c r="AB46" i="1"/>
  <c r="Z46" i="1"/>
  <c r="Y46" i="1"/>
  <c r="J46" i="1"/>
  <c r="I46" i="1"/>
  <c r="H46" i="1"/>
  <c r="F46" i="1"/>
  <c r="E46" i="1"/>
  <c r="BC45" i="1"/>
  <c r="AZ45" i="1"/>
  <c r="AY45" i="1"/>
  <c r="AQ45" i="1"/>
  <c r="AP45" i="1"/>
  <c r="AM45" i="1"/>
  <c r="AL45" i="1"/>
  <c r="AD45" i="1"/>
  <c r="AC45" i="1"/>
  <c r="AB45" i="1"/>
  <c r="Z45" i="1"/>
  <c r="Y45" i="1"/>
  <c r="J45" i="1"/>
  <c r="I45" i="1"/>
  <c r="H45" i="1"/>
  <c r="F45" i="1"/>
  <c r="E45" i="1"/>
  <c r="BC44" i="1"/>
  <c r="AZ44" i="1"/>
  <c r="AY44" i="1"/>
  <c r="AQ44" i="1"/>
  <c r="AP44" i="1"/>
  <c r="AM44" i="1"/>
  <c r="AL44" i="1"/>
  <c r="AD44" i="1"/>
  <c r="AC44" i="1"/>
  <c r="AB44" i="1"/>
  <c r="Z44" i="1"/>
  <c r="Y44" i="1"/>
  <c r="J44" i="1"/>
  <c r="I44" i="1"/>
  <c r="H44" i="1"/>
  <c r="F44" i="1"/>
  <c r="E44" i="1"/>
  <c r="BC43" i="1"/>
  <c r="AZ43" i="1"/>
  <c r="AY43" i="1"/>
  <c r="AQ43" i="1"/>
  <c r="AP43" i="1"/>
  <c r="AM43" i="1"/>
  <c r="AL43" i="1"/>
  <c r="AD43" i="1"/>
  <c r="AC43" i="1"/>
  <c r="AB43" i="1"/>
  <c r="Z43" i="1"/>
  <c r="Y43" i="1"/>
  <c r="J43" i="1"/>
  <c r="I43" i="1"/>
  <c r="H43" i="1"/>
  <c r="F43" i="1"/>
  <c r="E43" i="1"/>
  <c r="BC42" i="1"/>
  <c r="AZ42" i="1"/>
  <c r="AY42" i="1"/>
  <c r="AQ42" i="1"/>
  <c r="AP42" i="1"/>
  <c r="AM42" i="1"/>
  <c r="AL42" i="1"/>
  <c r="AD42" i="1"/>
  <c r="AC42" i="1"/>
  <c r="AB42" i="1"/>
  <c r="Z42" i="1"/>
  <c r="Y42" i="1"/>
  <c r="J42" i="1"/>
  <c r="I42" i="1"/>
  <c r="H42" i="1"/>
  <c r="F42" i="1"/>
  <c r="E42" i="1"/>
  <c r="BC41" i="1"/>
  <c r="AZ41" i="1"/>
  <c r="AY41" i="1"/>
  <c r="AQ41" i="1"/>
  <c r="AP41" i="1"/>
  <c r="AM41" i="1"/>
  <c r="AL41" i="1"/>
  <c r="AD41" i="1"/>
  <c r="AC41" i="1"/>
  <c r="AB41" i="1"/>
  <c r="Z41" i="1"/>
  <c r="Y41" i="1"/>
  <c r="J41" i="1"/>
  <c r="I41" i="1"/>
  <c r="H41" i="1"/>
  <c r="F41" i="1"/>
  <c r="E41" i="1"/>
  <c r="BC40" i="1"/>
  <c r="AZ40" i="1"/>
  <c r="AY40" i="1"/>
  <c r="AQ40" i="1"/>
  <c r="AP40" i="1"/>
  <c r="AM40" i="1"/>
  <c r="AL40" i="1"/>
  <c r="AD40" i="1"/>
  <c r="AC40" i="1"/>
  <c r="AB40" i="1"/>
  <c r="Z40" i="1"/>
  <c r="Y40" i="1"/>
  <c r="J40" i="1"/>
  <c r="I40" i="1"/>
  <c r="H40" i="1"/>
  <c r="F40" i="1"/>
  <c r="E40" i="1"/>
  <c r="BC39" i="1"/>
  <c r="AZ39" i="1"/>
  <c r="AY39" i="1"/>
  <c r="AQ39" i="1"/>
  <c r="AP39" i="1"/>
  <c r="AM39" i="1"/>
  <c r="AL39" i="1"/>
  <c r="AD39" i="1"/>
  <c r="AC39" i="1"/>
  <c r="AB39" i="1"/>
  <c r="Z39" i="1"/>
  <c r="Y39" i="1"/>
  <c r="J39" i="1"/>
  <c r="I39" i="1"/>
  <c r="H39" i="1"/>
  <c r="F39" i="1"/>
  <c r="E39" i="1"/>
  <c r="BC38" i="1"/>
  <c r="AZ38" i="1"/>
  <c r="AY38" i="1"/>
  <c r="AQ38" i="1"/>
  <c r="AP38" i="1"/>
  <c r="AM38" i="1"/>
  <c r="AL38" i="1"/>
  <c r="AD38" i="1"/>
  <c r="AC38" i="1"/>
  <c r="AB38" i="1"/>
  <c r="Z38" i="1"/>
  <c r="Y38" i="1"/>
  <c r="J38" i="1"/>
  <c r="I38" i="1"/>
  <c r="H38" i="1"/>
  <c r="F38" i="1"/>
  <c r="E38" i="1"/>
  <c r="BC37" i="1"/>
  <c r="AZ37" i="1"/>
  <c r="AY37" i="1"/>
  <c r="AQ37" i="1"/>
  <c r="AP37" i="1"/>
  <c r="AM37" i="1"/>
  <c r="AL37" i="1"/>
  <c r="AD37" i="1"/>
  <c r="AC37" i="1"/>
  <c r="AB37" i="1"/>
  <c r="Z37" i="1"/>
  <c r="Y37" i="1"/>
  <c r="J37" i="1"/>
  <c r="I37" i="1"/>
  <c r="H37" i="1"/>
  <c r="F37" i="1"/>
  <c r="E37" i="1"/>
  <c r="BC36" i="1"/>
  <c r="AZ36" i="1"/>
  <c r="AY36" i="1"/>
  <c r="AQ36" i="1"/>
  <c r="AP36" i="1"/>
  <c r="AM36" i="1"/>
  <c r="AL36" i="1"/>
  <c r="AD36" i="1"/>
  <c r="AC36" i="1"/>
  <c r="AB36" i="1"/>
  <c r="Z36" i="1"/>
  <c r="Y36" i="1"/>
  <c r="J36" i="1"/>
  <c r="I36" i="1"/>
  <c r="H36" i="1"/>
  <c r="F36" i="1"/>
  <c r="E36" i="1"/>
  <c r="BC35" i="1"/>
  <c r="AZ35" i="1"/>
  <c r="AY35" i="1"/>
  <c r="AQ35" i="1"/>
  <c r="AP35" i="1"/>
  <c r="AM35" i="1"/>
  <c r="AL35" i="1"/>
  <c r="AD35" i="1"/>
  <c r="AC35" i="1"/>
  <c r="AB35" i="1"/>
  <c r="Z35" i="1"/>
  <c r="Y35" i="1"/>
  <c r="J35" i="1"/>
  <c r="I35" i="1"/>
  <c r="H35" i="1"/>
  <c r="F35" i="1"/>
  <c r="E35" i="1"/>
  <c r="BC34" i="1"/>
  <c r="AZ34" i="1"/>
  <c r="AY34" i="1"/>
  <c r="AQ34" i="1"/>
  <c r="AP34" i="1"/>
  <c r="AM34" i="1"/>
  <c r="AL34" i="1"/>
  <c r="AD34" i="1"/>
  <c r="AC34" i="1"/>
  <c r="AB34" i="1"/>
  <c r="AA34" i="1"/>
  <c r="Z34" i="1"/>
  <c r="Y34" i="1"/>
  <c r="J34" i="1"/>
  <c r="I34" i="1"/>
  <c r="H34" i="1"/>
  <c r="F34" i="1"/>
  <c r="E34" i="1"/>
  <c r="BC33" i="1"/>
  <c r="AZ33" i="1"/>
  <c r="AY33" i="1"/>
  <c r="AQ33" i="1"/>
  <c r="AP33" i="1"/>
  <c r="AM33" i="1"/>
  <c r="AL33" i="1"/>
  <c r="AD33" i="1"/>
  <c r="AC33" i="1"/>
  <c r="AB33" i="1"/>
  <c r="Z33" i="1"/>
  <c r="Y33" i="1"/>
  <c r="J33" i="1"/>
  <c r="I33" i="1"/>
  <c r="H33" i="1"/>
  <c r="F33" i="1"/>
  <c r="E33" i="1"/>
  <c r="BC32" i="1"/>
  <c r="AZ32" i="1"/>
  <c r="AY32" i="1"/>
  <c r="AQ32" i="1"/>
  <c r="AP32" i="1"/>
  <c r="AM32" i="1"/>
  <c r="AL32" i="1"/>
  <c r="AD32" i="1"/>
  <c r="AC32" i="1"/>
  <c r="AB32" i="1"/>
  <c r="Z32" i="1"/>
  <c r="Y32" i="1"/>
  <c r="J32" i="1"/>
  <c r="I32" i="1"/>
  <c r="H32" i="1"/>
  <c r="F32" i="1"/>
  <c r="E32" i="1"/>
  <c r="BC31" i="1"/>
  <c r="AZ31" i="1"/>
  <c r="AY31" i="1"/>
  <c r="AQ31" i="1"/>
  <c r="AP31" i="1"/>
  <c r="AM31" i="1"/>
  <c r="AN31" i="1" s="1"/>
  <c r="AL31" i="1"/>
  <c r="AD31" i="1"/>
  <c r="AC31" i="1"/>
  <c r="AB31" i="1"/>
  <c r="Z31" i="1"/>
  <c r="Y31" i="1"/>
  <c r="J31" i="1"/>
  <c r="I31" i="1"/>
  <c r="H31" i="1"/>
  <c r="F31" i="1"/>
  <c r="E31" i="1"/>
  <c r="BC30" i="1"/>
  <c r="AZ30" i="1"/>
  <c r="AY30" i="1"/>
  <c r="AQ30" i="1"/>
  <c r="AP30" i="1"/>
  <c r="AM30" i="1"/>
  <c r="AL30" i="1"/>
  <c r="AD30" i="1"/>
  <c r="AC30" i="1"/>
  <c r="AB30" i="1"/>
  <c r="Z30" i="1"/>
  <c r="Y30" i="1"/>
  <c r="J30" i="1"/>
  <c r="I30" i="1"/>
  <c r="H30" i="1"/>
  <c r="F30" i="1"/>
  <c r="E30" i="1"/>
  <c r="BC29" i="1"/>
  <c r="AZ29" i="1"/>
  <c r="AY29" i="1"/>
  <c r="AQ29" i="1"/>
  <c r="AP29" i="1"/>
  <c r="AM29" i="1"/>
  <c r="AL29" i="1"/>
  <c r="AD29" i="1"/>
  <c r="AC29" i="1"/>
  <c r="AB29" i="1"/>
  <c r="Z29" i="1"/>
  <c r="Y29" i="1"/>
  <c r="J29" i="1"/>
  <c r="I29" i="1"/>
  <c r="H29" i="1"/>
  <c r="F29" i="1"/>
  <c r="E29" i="1"/>
  <c r="BC28" i="1"/>
  <c r="AZ28" i="1"/>
  <c r="AY28" i="1"/>
  <c r="AQ28" i="1"/>
  <c r="AP28" i="1"/>
  <c r="AM28" i="1"/>
  <c r="AL28" i="1"/>
  <c r="AD28" i="1"/>
  <c r="AC28" i="1"/>
  <c r="AB28" i="1"/>
  <c r="Z28" i="1"/>
  <c r="Y28" i="1"/>
  <c r="J28" i="1"/>
  <c r="I28" i="1"/>
  <c r="H28" i="1"/>
  <c r="F28" i="1"/>
  <c r="E28" i="1"/>
  <c r="BC27" i="1"/>
  <c r="AZ27" i="1"/>
  <c r="AY27" i="1"/>
  <c r="AQ27" i="1"/>
  <c r="AP27" i="1"/>
  <c r="AM27" i="1"/>
  <c r="AL27" i="1"/>
  <c r="AD27" i="1"/>
  <c r="AC27" i="1"/>
  <c r="AB27" i="1"/>
  <c r="Z27" i="1"/>
  <c r="Y27" i="1"/>
  <c r="J27" i="1"/>
  <c r="I27" i="1"/>
  <c r="H27" i="1"/>
  <c r="F27" i="1"/>
  <c r="E27" i="1"/>
  <c r="BC26" i="1"/>
  <c r="AZ26" i="1"/>
  <c r="AY26" i="1"/>
  <c r="AQ26" i="1"/>
  <c r="AP26" i="1"/>
  <c r="AM26" i="1"/>
  <c r="AL26" i="1"/>
  <c r="AD26" i="1"/>
  <c r="AC26" i="1"/>
  <c r="AB26" i="1"/>
  <c r="Z26" i="1"/>
  <c r="Y26" i="1"/>
  <c r="J26" i="1"/>
  <c r="I26" i="1"/>
  <c r="H26" i="1"/>
  <c r="F26" i="1"/>
  <c r="E26" i="1"/>
  <c r="BC25" i="1"/>
  <c r="AZ25" i="1"/>
  <c r="AY25" i="1"/>
  <c r="AQ25" i="1"/>
  <c r="AP25" i="1"/>
  <c r="AM25" i="1"/>
  <c r="AL25" i="1"/>
  <c r="AD25" i="1"/>
  <c r="AC25" i="1"/>
  <c r="AB25" i="1"/>
  <c r="Z25" i="1"/>
  <c r="Y25" i="1"/>
  <c r="J25" i="1"/>
  <c r="I25" i="1"/>
  <c r="H25" i="1"/>
  <c r="F25" i="1"/>
  <c r="E25" i="1"/>
  <c r="BC24" i="1"/>
  <c r="AZ24" i="1"/>
  <c r="AY24" i="1"/>
  <c r="AQ24" i="1"/>
  <c r="AP24" i="1"/>
  <c r="AM24" i="1"/>
  <c r="AL24" i="1"/>
  <c r="AD24" i="1"/>
  <c r="AC24" i="1"/>
  <c r="AB24" i="1"/>
  <c r="Z24" i="1"/>
  <c r="Y24" i="1"/>
  <c r="J24" i="1"/>
  <c r="I24" i="1"/>
  <c r="H24" i="1"/>
  <c r="F24" i="1"/>
  <c r="E24" i="1"/>
  <c r="BC23" i="1"/>
  <c r="AZ23" i="1"/>
  <c r="AY23" i="1"/>
  <c r="AQ23" i="1"/>
  <c r="AP23" i="1"/>
  <c r="AM23" i="1"/>
  <c r="AL23" i="1"/>
  <c r="AD23" i="1"/>
  <c r="AC23" i="1"/>
  <c r="AB23" i="1"/>
  <c r="Z23" i="1"/>
  <c r="Y23" i="1"/>
  <c r="J23" i="1"/>
  <c r="I23" i="1"/>
  <c r="H23" i="1"/>
  <c r="F23" i="1"/>
  <c r="E23" i="1"/>
  <c r="BC22" i="1"/>
  <c r="AZ22" i="1"/>
  <c r="AY22" i="1"/>
  <c r="AQ22" i="1"/>
  <c r="AP22" i="1"/>
  <c r="AM22" i="1"/>
  <c r="AL22" i="1"/>
  <c r="AD22" i="1"/>
  <c r="AC22" i="1"/>
  <c r="AB22" i="1"/>
  <c r="Z22" i="1"/>
  <c r="Y22" i="1"/>
  <c r="J22" i="1"/>
  <c r="I22" i="1"/>
  <c r="H22" i="1"/>
  <c r="F22" i="1"/>
  <c r="E22" i="1"/>
  <c r="BC21" i="1"/>
  <c r="AZ21" i="1"/>
  <c r="AY21" i="1"/>
  <c r="AQ21" i="1"/>
  <c r="AP21" i="1"/>
  <c r="AM21" i="1"/>
  <c r="AL21" i="1"/>
  <c r="AD21" i="1"/>
  <c r="AC21" i="1"/>
  <c r="AB21" i="1"/>
  <c r="Z21" i="1"/>
  <c r="Y21" i="1"/>
  <c r="J21" i="1"/>
  <c r="I21" i="1"/>
  <c r="H21" i="1"/>
  <c r="F21" i="1"/>
  <c r="E21" i="1"/>
  <c r="BC20" i="1"/>
  <c r="AZ20" i="1"/>
  <c r="AY20" i="1"/>
  <c r="AQ20" i="1"/>
  <c r="AP20" i="1"/>
  <c r="AM20" i="1"/>
  <c r="AL20" i="1"/>
  <c r="AD20" i="1"/>
  <c r="AC20" i="1"/>
  <c r="AB20" i="1"/>
  <c r="Z20" i="1"/>
  <c r="Y20" i="1"/>
  <c r="J20" i="1"/>
  <c r="I20" i="1"/>
  <c r="H20" i="1"/>
  <c r="F20" i="1"/>
  <c r="E20" i="1"/>
  <c r="BC19" i="1"/>
  <c r="AZ19" i="1"/>
  <c r="AY19" i="1"/>
  <c r="AQ19" i="1"/>
  <c r="AP19" i="1"/>
  <c r="AM19" i="1"/>
  <c r="AL19" i="1"/>
  <c r="AD19" i="1"/>
  <c r="AC19" i="1"/>
  <c r="AB19" i="1"/>
  <c r="Z19" i="1"/>
  <c r="Y19" i="1"/>
  <c r="J19" i="1"/>
  <c r="I19" i="1"/>
  <c r="H19" i="1"/>
  <c r="F19" i="1"/>
  <c r="E19" i="1"/>
  <c r="BC18" i="1"/>
  <c r="AZ18" i="1"/>
  <c r="AY18" i="1"/>
  <c r="AQ18" i="1"/>
  <c r="AP18" i="1"/>
  <c r="AM18" i="1"/>
  <c r="AL18" i="1"/>
  <c r="AD18" i="1"/>
  <c r="AC18" i="1"/>
  <c r="AB18" i="1"/>
  <c r="Z18" i="1"/>
  <c r="Y18" i="1"/>
  <c r="J18" i="1"/>
  <c r="I18" i="1"/>
  <c r="H18" i="1"/>
  <c r="F18" i="1"/>
  <c r="E18" i="1"/>
  <c r="BC17" i="1"/>
  <c r="AZ17" i="1"/>
  <c r="AY17" i="1"/>
  <c r="AQ17" i="1"/>
  <c r="AP17" i="1"/>
  <c r="AM17" i="1"/>
  <c r="AL17" i="1"/>
  <c r="AD17" i="1"/>
  <c r="AC17" i="1"/>
  <c r="AB17" i="1"/>
  <c r="Z17" i="1"/>
  <c r="Y17" i="1"/>
  <c r="J17" i="1"/>
  <c r="I17" i="1"/>
  <c r="H17" i="1"/>
  <c r="F17" i="1"/>
  <c r="E17" i="1"/>
  <c r="BC16" i="1"/>
  <c r="AZ16" i="1"/>
  <c r="AY16" i="1"/>
  <c r="AQ16" i="1"/>
  <c r="AP16" i="1"/>
  <c r="AM16" i="1"/>
  <c r="AL16" i="1"/>
  <c r="AD16" i="1"/>
  <c r="AC16" i="1"/>
  <c r="AB16" i="1"/>
  <c r="Z16" i="1"/>
  <c r="Y16" i="1"/>
  <c r="J16" i="1"/>
  <c r="I16" i="1"/>
  <c r="H16" i="1"/>
  <c r="F16" i="1"/>
  <c r="E16" i="1"/>
  <c r="BC15" i="1"/>
  <c r="AZ15" i="1"/>
  <c r="AY15" i="1"/>
  <c r="AQ15" i="1"/>
  <c r="AP15" i="1"/>
  <c r="AM15" i="1"/>
  <c r="AL15" i="1"/>
  <c r="AD15" i="1"/>
  <c r="AC15" i="1"/>
  <c r="AB15" i="1"/>
  <c r="Z15" i="1"/>
  <c r="Y15" i="1"/>
  <c r="J15" i="1"/>
  <c r="I15" i="1"/>
  <c r="H15" i="1"/>
  <c r="F15" i="1"/>
  <c r="E15" i="1"/>
  <c r="BC14" i="1"/>
  <c r="AZ14" i="1"/>
  <c r="AY14" i="1"/>
  <c r="AQ14" i="1"/>
  <c r="AP14" i="1"/>
  <c r="AM14" i="1"/>
  <c r="AL14" i="1"/>
  <c r="AD14" i="1"/>
  <c r="AC14" i="1"/>
  <c r="AB14" i="1"/>
  <c r="Z14" i="1"/>
  <c r="Y14" i="1"/>
  <c r="J14" i="1"/>
  <c r="I14" i="1"/>
  <c r="H14" i="1"/>
  <c r="F14" i="1"/>
  <c r="E14" i="1"/>
  <c r="BC13" i="1"/>
  <c r="AZ13" i="1"/>
  <c r="AY13" i="1"/>
  <c r="AQ13" i="1"/>
  <c r="AP13" i="1"/>
  <c r="AM13" i="1"/>
  <c r="AL13" i="1"/>
  <c r="AD13" i="1"/>
  <c r="AC13" i="1"/>
  <c r="AB13" i="1"/>
  <c r="Z13" i="1"/>
  <c r="Y13" i="1"/>
  <c r="J13" i="1"/>
  <c r="I13" i="1"/>
  <c r="H13" i="1"/>
  <c r="F13" i="1"/>
  <c r="E13" i="1"/>
  <c r="BC12" i="1"/>
  <c r="AZ12" i="1"/>
  <c r="AY12" i="1"/>
  <c r="AQ12" i="1"/>
  <c r="AP12" i="1"/>
  <c r="AM12" i="1"/>
  <c r="AL12" i="1"/>
  <c r="AD12" i="1"/>
  <c r="AC12" i="1"/>
  <c r="AB12" i="1"/>
  <c r="Z12" i="1"/>
  <c r="Y12" i="1"/>
  <c r="J12" i="1"/>
  <c r="I12" i="1"/>
  <c r="H12" i="1"/>
  <c r="F12" i="1"/>
  <c r="E12" i="1"/>
  <c r="BC11" i="1"/>
  <c r="AZ11" i="1"/>
  <c r="AY11" i="1"/>
  <c r="AQ11" i="1"/>
  <c r="AP11" i="1"/>
  <c r="AM11" i="1"/>
  <c r="AL11" i="1"/>
  <c r="AD11" i="1"/>
  <c r="AC11" i="1"/>
  <c r="AB11" i="1"/>
  <c r="Z11" i="1"/>
  <c r="Y11" i="1"/>
  <c r="J11" i="1"/>
  <c r="I11" i="1"/>
  <c r="H11" i="1"/>
  <c r="F11" i="1"/>
  <c r="G11" i="1" s="1"/>
  <c r="E11" i="1"/>
  <c r="BC10" i="1"/>
  <c r="AZ10" i="1"/>
  <c r="AY10" i="1"/>
  <c r="AQ10" i="1"/>
  <c r="AP10" i="1"/>
  <c r="AM10" i="1"/>
  <c r="AL10" i="1"/>
  <c r="AD10" i="1"/>
  <c r="AC10" i="1"/>
  <c r="AB10" i="1"/>
  <c r="Z10" i="1"/>
  <c r="Y10" i="1"/>
  <c r="J10" i="1"/>
  <c r="I10" i="1"/>
  <c r="H10" i="1"/>
  <c r="F10" i="1"/>
  <c r="E10" i="1"/>
  <c r="BC9" i="1"/>
  <c r="AZ9" i="1"/>
  <c r="AY9" i="1"/>
  <c r="AQ9" i="1"/>
  <c r="AP9" i="1"/>
  <c r="AM9" i="1"/>
  <c r="AL9" i="1"/>
  <c r="AD9" i="1"/>
  <c r="AC9" i="1"/>
  <c r="AB9" i="1"/>
  <c r="Z9" i="1"/>
  <c r="Y9" i="1"/>
  <c r="J9" i="1"/>
  <c r="I9" i="1"/>
  <c r="H9" i="1"/>
  <c r="F9" i="1"/>
  <c r="E9" i="1"/>
  <c r="BC8" i="1"/>
  <c r="AZ8" i="1"/>
  <c r="AY8" i="1"/>
  <c r="AQ8" i="1"/>
  <c r="AP8" i="1"/>
  <c r="AM8" i="1"/>
  <c r="AL8" i="1"/>
  <c r="AD8" i="1"/>
  <c r="AC8" i="1"/>
  <c r="AB8" i="1"/>
  <c r="Z8" i="1"/>
  <c r="Y8" i="1"/>
  <c r="J8" i="1"/>
  <c r="I8" i="1"/>
  <c r="H8" i="1"/>
  <c r="F8" i="1"/>
  <c r="E8" i="1"/>
  <c r="BC7" i="1"/>
  <c r="AZ7" i="1"/>
  <c r="AY7" i="1"/>
  <c r="AQ7" i="1"/>
  <c r="AP7" i="1"/>
  <c r="AM7" i="1"/>
  <c r="AL7" i="1"/>
  <c r="AD7" i="1"/>
  <c r="AC7" i="1"/>
  <c r="AB7" i="1"/>
  <c r="Z7" i="1"/>
  <c r="Y7" i="1"/>
  <c r="J7" i="1"/>
  <c r="I7" i="1"/>
  <c r="H7" i="1"/>
  <c r="F7" i="1"/>
  <c r="E7" i="1"/>
  <c r="BC6" i="1"/>
  <c r="AZ6" i="1"/>
  <c r="AY6" i="1"/>
  <c r="AQ6" i="1"/>
  <c r="AP6" i="1"/>
  <c r="AM6" i="1"/>
  <c r="AL6" i="1"/>
  <c r="AD6" i="1"/>
  <c r="AC6" i="1"/>
  <c r="AB6" i="1"/>
  <c r="Z6" i="1"/>
  <c r="Y6" i="1"/>
  <c r="J6" i="1"/>
  <c r="I6" i="1"/>
  <c r="H6" i="1"/>
  <c r="F6" i="1"/>
  <c r="E6" i="1"/>
  <c r="BC5" i="1"/>
  <c r="AZ5" i="1"/>
  <c r="AY5" i="1"/>
  <c r="AQ5" i="1"/>
  <c r="AP5" i="1"/>
  <c r="AM5" i="1"/>
  <c r="AL5" i="1"/>
  <c r="AD5" i="1"/>
  <c r="AC5" i="1"/>
  <c r="AB5" i="1"/>
  <c r="Z5" i="1"/>
  <c r="Y5" i="1"/>
  <c r="I5" i="1"/>
  <c r="H5" i="1"/>
  <c r="F5" i="1"/>
  <c r="E5" i="1"/>
  <c r="BC4" i="1"/>
  <c r="AZ4" i="1"/>
  <c r="AY4" i="1"/>
  <c r="AQ4" i="1"/>
  <c r="AP4" i="1"/>
  <c r="AM4" i="1"/>
  <c r="AL4" i="1"/>
  <c r="AD4" i="1"/>
  <c r="AC4" i="1"/>
  <c r="AB4" i="1"/>
  <c r="Z4" i="1"/>
  <c r="Y4" i="1"/>
  <c r="J4" i="1"/>
  <c r="I4" i="1"/>
  <c r="H4" i="1"/>
  <c r="F4" i="1"/>
  <c r="G4" i="1" s="1"/>
  <c r="E4" i="1"/>
  <c r="BC3" i="1"/>
  <c r="AZ3" i="1"/>
  <c r="AY3" i="1"/>
  <c r="AP3" i="1"/>
  <c r="AM3" i="1"/>
  <c r="AL3" i="1"/>
  <c r="AD3" i="1"/>
  <c r="AC3" i="1"/>
  <c r="AB3" i="1"/>
  <c r="Z3" i="1"/>
  <c r="Y3" i="1"/>
  <c r="J3" i="1"/>
  <c r="I3" i="1"/>
  <c r="H3" i="1"/>
  <c r="BD13" i="1" l="1"/>
  <c r="BD14" i="1"/>
  <c r="N26" i="5"/>
  <c r="N34" i="5"/>
  <c r="N42" i="5"/>
  <c r="N50" i="5"/>
  <c r="N58" i="5"/>
  <c r="N66" i="5"/>
  <c r="N74" i="5"/>
  <c r="N82" i="5"/>
  <c r="N90" i="5"/>
  <c r="BD74" i="1"/>
  <c r="BD70" i="1"/>
  <c r="BD66" i="1"/>
  <c r="BD62" i="1"/>
  <c r="BD58" i="1"/>
  <c r="BD54" i="1"/>
  <c r="BD50" i="1"/>
  <c r="BD46" i="1"/>
  <c r="BD42" i="1"/>
  <c r="BD38" i="1"/>
  <c r="BD34" i="1"/>
  <c r="BD30" i="1"/>
  <c r="BD26" i="1"/>
  <c r="BD22" i="1"/>
  <c r="BD18" i="1"/>
  <c r="BD9" i="1"/>
  <c r="BD5" i="1"/>
  <c r="BD4" i="1"/>
  <c r="BD15" i="1"/>
  <c r="BD55" i="1"/>
  <c r="BD51" i="1"/>
  <c r="BD47" i="1"/>
  <c r="BD6" i="1"/>
  <c r="BD77" i="1"/>
  <c r="BD73" i="1"/>
  <c r="BD69" i="1"/>
  <c r="BD65" i="1"/>
  <c r="BD61" i="1"/>
  <c r="BD57" i="1"/>
  <c r="BD53" i="1"/>
  <c r="BD49" i="1"/>
  <c r="BD45" i="1"/>
  <c r="BD41" i="1"/>
  <c r="BD37" i="1"/>
  <c r="BD29" i="1"/>
  <c r="BD25" i="1"/>
  <c r="BD21" i="1"/>
  <c r="BD17" i="1"/>
  <c r="BD12" i="1"/>
  <c r="BD8" i="1"/>
  <c r="BD72" i="1"/>
  <c r="BD68" i="1"/>
  <c r="BD64" i="1"/>
  <c r="BD60" i="1"/>
  <c r="BD56" i="1"/>
  <c r="BD52" i="1"/>
  <c r="BD48" i="1"/>
  <c r="BD44" i="1"/>
  <c r="BD40" i="1"/>
  <c r="BD36" i="1"/>
  <c r="BD28" i="1"/>
  <c r="BD24" i="1"/>
  <c r="BD20" i="1"/>
  <c r="BD11" i="1"/>
  <c r="BD19" i="1"/>
  <c r="BD10" i="1"/>
  <c r="BD33" i="1"/>
  <c r="BD3" i="1"/>
  <c r="BD7" i="1"/>
  <c r="BD59" i="1"/>
  <c r="BD43" i="1"/>
  <c r="BD39" i="1"/>
  <c r="BD35" i="1"/>
  <c r="BD31" i="1"/>
  <c r="BD27" i="1"/>
  <c r="BD23" i="1"/>
  <c r="BD76" i="1"/>
  <c r="BD75" i="1"/>
  <c r="BD71" i="1"/>
  <c r="BD67" i="1"/>
  <c r="BD63" i="1"/>
  <c r="N28" i="5"/>
  <c r="N88" i="5"/>
  <c r="N80" i="5"/>
  <c r="N72" i="5"/>
  <c r="N64" i="5"/>
  <c r="N56" i="5"/>
  <c r="N48" i="5"/>
  <c r="N40" i="5"/>
  <c r="N32" i="5"/>
  <c r="N24" i="5"/>
  <c r="P64" i="5"/>
  <c r="P56" i="5"/>
  <c r="P48" i="5"/>
  <c r="P40" i="5"/>
  <c r="P32" i="5"/>
  <c r="P24" i="5"/>
  <c r="N87" i="5"/>
  <c r="N79" i="5"/>
  <c r="N71" i="5"/>
  <c r="N63" i="5"/>
  <c r="N55" i="5"/>
  <c r="N47" i="5"/>
  <c r="N39" i="5"/>
  <c r="N31" i="5"/>
  <c r="N23" i="5"/>
  <c r="AO72" i="1"/>
  <c r="AO64" i="1"/>
  <c r="AO56" i="1"/>
  <c r="AR56" i="1" s="1"/>
  <c r="AS56" i="1" s="1"/>
  <c r="AO48" i="1"/>
  <c r="AO40" i="1"/>
  <c r="AR40" i="1" s="1"/>
  <c r="AO32" i="1"/>
  <c r="AO24" i="1"/>
  <c r="AO16" i="1"/>
  <c r="AO8" i="1"/>
  <c r="M97" i="5"/>
  <c r="P71" i="5"/>
  <c r="P63" i="5"/>
  <c r="P55" i="5"/>
  <c r="P47" i="5"/>
  <c r="P39" i="5"/>
  <c r="P31" i="5"/>
  <c r="P23" i="5"/>
  <c r="N86" i="5"/>
  <c r="N78" i="5"/>
  <c r="N70" i="5"/>
  <c r="N62" i="5"/>
  <c r="N54" i="5"/>
  <c r="N46" i="5"/>
  <c r="N38" i="5"/>
  <c r="N30" i="5"/>
  <c r="N22" i="5"/>
  <c r="AO71" i="1"/>
  <c r="AO63" i="1"/>
  <c r="AO55" i="1"/>
  <c r="AO47" i="1"/>
  <c r="AO39" i="1"/>
  <c r="AO31" i="1"/>
  <c r="AO23" i="1"/>
  <c r="AO15" i="1"/>
  <c r="P30" i="5"/>
  <c r="N85" i="5"/>
  <c r="N77" i="5"/>
  <c r="N69" i="5"/>
  <c r="N61" i="5"/>
  <c r="N53" i="5"/>
  <c r="N45" i="5"/>
  <c r="N37" i="5"/>
  <c r="N29" i="5"/>
  <c r="N21" i="5"/>
  <c r="AO70" i="1"/>
  <c r="AO62" i="1"/>
  <c r="AO54" i="1"/>
  <c r="AO46" i="1"/>
  <c r="AO38" i="1"/>
  <c r="AO30" i="1"/>
  <c r="AO22" i="1"/>
  <c r="AO14" i="1"/>
  <c r="AO7" i="1"/>
  <c r="AR7" i="1" s="1"/>
  <c r="AS7" i="1" s="1"/>
  <c r="N84" i="5"/>
  <c r="N76" i="5"/>
  <c r="N68" i="5"/>
  <c r="N60" i="5"/>
  <c r="N52" i="5"/>
  <c r="N44" i="5"/>
  <c r="N36" i="5"/>
  <c r="AO77" i="1"/>
  <c r="AO69" i="1"/>
  <c r="AR69" i="1" s="1"/>
  <c r="AO61" i="1"/>
  <c r="AO53" i="1"/>
  <c r="AR53" i="1" s="1"/>
  <c r="AS53" i="1" s="1"/>
  <c r="AO45" i="1"/>
  <c r="AO37" i="1"/>
  <c r="AO29" i="1"/>
  <c r="AR29" i="1" s="1"/>
  <c r="AO21" i="1"/>
  <c r="AO13" i="1"/>
  <c r="P68" i="5"/>
  <c r="P60" i="5"/>
  <c r="P52" i="5"/>
  <c r="P44" i="5"/>
  <c r="P36" i="5"/>
  <c r="N20" i="5"/>
  <c r="N83" i="5"/>
  <c r="N75" i="5"/>
  <c r="N67" i="5"/>
  <c r="N59" i="5"/>
  <c r="N51" i="5"/>
  <c r="N43" i="5"/>
  <c r="N35" i="5"/>
  <c r="N27" i="5"/>
  <c r="AO76" i="1"/>
  <c r="AO68" i="1"/>
  <c r="AO60" i="1"/>
  <c r="AO52" i="1"/>
  <c r="AO44" i="1"/>
  <c r="AO36" i="1"/>
  <c r="AO28" i="1"/>
  <c r="AO20" i="1"/>
  <c r="AR20" i="1" s="1"/>
  <c r="AO12" i="1"/>
  <c r="P21" i="5"/>
  <c r="P66" i="5"/>
  <c r="P58" i="5"/>
  <c r="P50" i="5"/>
  <c r="P42" i="5"/>
  <c r="P34" i="5"/>
  <c r="P26" i="5"/>
  <c r="N89" i="5"/>
  <c r="N81" i="5"/>
  <c r="N73" i="5"/>
  <c r="N65" i="5"/>
  <c r="N57" i="5"/>
  <c r="N49" i="5"/>
  <c r="N41" i="5"/>
  <c r="N33" i="5"/>
  <c r="AO74" i="1"/>
  <c r="AR74" i="1" s="1"/>
  <c r="AO66" i="1"/>
  <c r="AR66" i="1" s="1"/>
  <c r="AS66" i="1" s="1"/>
  <c r="AO58" i="1"/>
  <c r="AR58" i="1" s="1"/>
  <c r="AS58" i="1" s="1"/>
  <c r="AO50" i="1"/>
  <c r="AO42" i="1"/>
  <c r="AR42" i="1" s="1"/>
  <c r="AO34" i="1"/>
  <c r="AE45" i="1"/>
  <c r="K53" i="1"/>
  <c r="AE48" i="1"/>
  <c r="AF48" i="1" s="1"/>
  <c r="AE47" i="1"/>
  <c r="K47" i="1"/>
  <c r="AE77" i="1"/>
  <c r="AE75" i="1"/>
  <c r="AF75" i="1" s="1"/>
  <c r="AE74" i="1"/>
  <c r="AF74" i="1" s="1"/>
  <c r="K42" i="1"/>
  <c r="K52" i="1"/>
  <c r="L52" i="1" s="1"/>
  <c r="K49" i="1"/>
  <c r="K40" i="1"/>
  <c r="AE39" i="1"/>
  <c r="K29" i="1"/>
  <c r="AE76" i="1"/>
  <c r="AF76" i="1" s="1"/>
  <c r="K72" i="1"/>
  <c r="AE69" i="1"/>
  <c r="K69" i="1"/>
  <c r="K58" i="1"/>
  <c r="K48" i="1"/>
  <c r="L48" i="1" s="1"/>
  <c r="AE43" i="1"/>
  <c r="K74" i="1"/>
  <c r="AE73" i="1"/>
  <c r="K73" i="1"/>
  <c r="AE72" i="1"/>
  <c r="AF72" i="1" s="1"/>
  <c r="AE71" i="1"/>
  <c r="AE70" i="1"/>
  <c r="K70" i="1"/>
  <c r="AE68" i="1"/>
  <c r="AF68" i="1" s="1"/>
  <c r="K68" i="1"/>
  <c r="L68" i="1" s="1"/>
  <c r="AE67" i="1"/>
  <c r="AF67" i="1" s="1"/>
  <c r="AE66" i="1"/>
  <c r="AF66" i="1" s="1"/>
  <c r="K66" i="1"/>
  <c r="L66" i="1" s="1"/>
  <c r="K60" i="1"/>
  <c r="L60" i="1" s="1"/>
  <c r="AE57" i="1"/>
  <c r="AE55" i="1"/>
  <c r="K55" i="1"/>
  <c r="L55" i="1" s="1"/>
  <c r="K54" i="1"/>
  <c r="L54" i="1" s="1"/>
  <c r="K50" i="1"/>
  <c r="AE49" i="1"/>
  <c r="AF49" i="1" s="1"/>
  <c r="K46" i="1"/>
  <c r="K44" i="1"/>
  <c r="L44" i="1" s="1"/>
  <c r="K43" i="1"/>
  <c r="AE41" i="1"/>
  <c r="K75" i="1"/>
  <c r="K71" i="1"/>
  <c r="L71" i="1" s="1"/>
  <c r="K67" i="1"/>
  <c r="L67" i="1" s="1"/>
  <c r="AE65" i="1"/>
  <c r="AF65" i="1" s="1"/>
  <c r="K65" i="1"/>
  <c r="AE59" i="1"/>
  <c r="K56" i="1"/>
  <c r="AE64" i="1"/>
  <c r="K64" i="1"/>
  <c r="AE63" i="1"/>
  <c r="K63" i="1"/>
  <c r="AE62" i="1"/>
  <c r="AF62" i="1" s="1"/>
  <c r="K62" i="1"/>
  <c r="AE61" i="1"/>
  <c r="AF61" i="1" s="1"/>
  <c r="K61" i="1"/>
  <c r="AE60" i="1"/>
  <c r="K59" i="1"/>
  <c r="AE58" i="1"/>
  <c r="AF58" i="1" s="1"/>
  <c r="K57" i="1"/>
  <c r="AE56" i="1"/>
  <c r="AE54" i="1"/>
  <c r="AF54" i="1" s="1"/>
  <c r="AE53" i="1"/>
  <c r="AF53" i="1" s="1"/>
  <c r="AE52" i="1"/>
  <c r="AE46" i="1"/>
  <c r="AE44" i="1"/>
  <c r="AE28" i="1"/>
  <c r="AF28" i="1" s="1"/>
  <c r="AE51" i="1"/>
  <c r="K51" i="1"/>
  <c r="AE50" i="1"/>
  <c r="AF50" i="1" s="1"/>
  <c r="K39" i="1"/>
  <c r="AE38" i="1"/>
  <c r="K38" i="1"/>
  <c r="AE37" i="1"/>
  <c r="AF37" i="1" s="1"/>
  <c r="K37" i="1"/>
  <c r="AE36" i="1"/>
  <c r="K36" i="1"/>
  <c r="AE35" i="1"/>
  <c r="K35" i="1"/>
  <c r="AE34" i="1"/>
  <c r="K34" i="1"/>
  <c r="AE33" i="1"/>
  <c r="K33" i="1"/>
  <c r="L33" i="1" s="1"/>
  <c r="AE32" i="1"/>
  <c r="K32" i="1"/>
  <c r="AE31" i="1"/>
  <c r="K31" i="1"/>
  <c r="AE30" i="1"/>
  <c r="K30" i="1"/>
  <c r="AE29" i="1"/>
  <c r="K27" i="1"/>
  <c r="AE26" i="1"/>
  <c r="AF26" i="1" s="1"/>
  <c r="K26" i="1"/>
  <c r="AE25" i="1"/>
  <c r="AF25" i="1" s="1"/>
  <c r="K25" i="1"/>
  <c r="AE24" i="1"/>
  <c r="K24" i="1"/>
  <c r="AE23" i="1"/>
  <c r="K23" i="1"/>
  <c r="AE22" i="1"/>
  <c r="K22" i="1"/>
  <c r="AE21" i="1"/>
  <c r="AF21" i="1" s="1"/>
  <c r="K21" i="1"/>
  <c r="AE20" i="1"/>
  <c r="K20" i="1"/>
  <c r="L20" i="1" s="1"/>
  <c r="AE19" i="1"/>
  <c r="K19" i="1"/>
  <c r="AE18" i="1"/>
  <c r="AF18" i="1" s="1"/>
  <c r="K18" i="1"/>
  <c r="L18" i="1" s="1"/>
  <c r="AE17" i="1"/>
  <c r="K17" i="1"/>
  <c r="AE16" i="1"/>
  <c r="AF16" i="1" s="1"/>
  <c r="K16" i="1"/>
  <c r="AE15" i="1"/>
  <c r="AF15" i="1" s="1"/>
  <c r="K15" i="1"/>
  <c r="AE14" i="1"/>
  <c r="AF14" i="1" s="1"/>
  <c r="K14" i="1"/>
  <c r="K41" i="1"/>
  <c r="AE27" i="1"/>
  <c r="AE13" i="1"/>
  <c r="K13" i="1"/>
  <c r="L13" i="1" s="1"/>
  <c r="AE12" i="1"/>
  <c r="K12" i="1"/>
  <c r="AE11" i="1"/>
  <c r="K11" i="1"/>
  <c r="L11" i="1" s="1"/>
  <c r="AE10" i="1"/>
  <c r="K10" i="1"/>
  <c r="AE9" i="1"/>
  <c r="K9" i="1"/>
  <c r="AE8" i="1"/>
  <c r="AF8" i="1" s="1"/>
  <c r="K8" i="1"/>
  <c r="AE7" i="1"/>
  <c r="K7" i="1"/>
  <c r="AE6" i="1"/>
  <c r="K6" i="1"/>
  <c r="AE5" i="1"/>
  <c r="K5" i="1"/>
  <c r="AE4" i="1"/>
  <c r="K45" i="1"/>
  <c r="AE42" i="1"/>
  <c r="AE40" i="1"/>
  <c r="K28" i="1"/>
  <c r="L28" i="1" s="1"/>
  <c r="K4" i="1"/>
  <c r="L4" i="1" s="1"/>
  <c r="E99" i="5"/>
  <c r="E6" i="5" s="1"/>
  <c r="E100" i="5"/>
  <c r="AR4" i="1"/>
  <c r="AR5" i="1"/>
  <c r="AR6" i="1"/>
  <c r="AS6" i="1" s="1"/>
  <c r="BE6" i="1"/>
  <c r="BE5" i="1"/>
  <c r="BE4" i="1"/>
  <c r="BF4" i="1" s="1"/>
  <c r="E97" i="5"/>
  <c r="AF34" i="1"/>
  <c r="AR13" i="1"/>
  <c r="AS13" i="1" s="1"/>
  <c r="AR12" i="1"/>
  <c r="AS12" i="1" s="1"/>
  <c r="AR11" i="1"/>
  <c r="AS11" i="1" s="1"/>
  <c r="AR10" i="1"/>
  <c r="AS10" i="1" s="1"/>
  <c r="AR9" i="1"/>
  <c r="AS9" i="1" s="1"/>
  <c r="AR8" i="1"/>
  <c r="AS8" i="1" s="1"/>
  <c r="BD16" i="1"/>
  <c r="BD32" i="1"/>
  <c r="AR49" i="1"/>
  <c r="AR21" i="1"/>
  <c r="AS21" i="1" s="1"/>
  <c r="AR75" i="1"/>
  <c r="AS75" i="1" s="1"/>
  <c r="AR73" i="1"/>
  <c r="AR72" i="1"/>
  <c r="AR71" i="1"/>
  <c r="AR70" i="1"/>
  <c r="AR68" i="1"/>
  <c r="AR67" i="1"/>
  <c r="AR65" i="1"/>
  <c r="AS65" i="1" s="1"/>
  <c r="AR64" i="1"/>
  <c r="AR63" i="1"/>
  <c r="AS63" i="1" s="1"/>
  <c r="AR62" i="1"/>
  <c r="AS62" i="1" s="1"/>
  <c r="AR61" i="1"/>
  <c r="AS61" i="1" s="1"/>
  <c r="AR60" i="1"/>
  <c r="AR59" i="1"/>
  <c r="AS59" i="1" s="1"/>
  <c r="AR57" i="1"/>
  <c r="AS57" i="1" s="1"/>
  <c r="AR55" i="1"/>
  <c r="AR54" i="1"/>
  <c r="AR52" i="1"/>
  <c r="AR51" i="1"/>
  <c r="AR50" i="1"/>
  <c r="AS50" i="1" s="1"/>
  <c r="AR77" i="1"/>
  <c r="AS77" i="1" s="1"/>
  <c r="AR48" i="1"/>
  <c r="AS48" i="1" s="1"/>
  <c r="AR47" i="1"/>
  <c r="AR46" i="1"/>
  <c r="AR45" i="1"/>
  <c r="AR44" i="1"/>
  <c r="AR43" i="1"/>
  <c r="AR41" i="1"/>
  <c r="AR39" i="1"/>
  <c r="AR38" i="1"/>
  <c r="AR37" i="1"/>
  <c r="AR36" i="1"/>
  <c r="AR35" i="1"/>
  <c r="AR34" i="1"/>
  <c r="AR33" i="1"/>
  <c r="AR32" i="1"/>
  <c r="AR31" i="1"/>
  <c r="AS31" i="1" s="1"/>
  <c r="AR30" i="1"/>
  <c r="AR28" i="1"/>
  <c r="AR27" i="1"/>
  <c r="AR26" i="1"/>
  <c r="AS26" i="1" s="1"/>
  <c r="AR25" i="1"/>
  <c r="AS25" i="1" s="1"/>
  <c r="AR24" i="1"/>
  <c r="AR23" i="1"/>
  <c r="AR22" i="1"/>
  <c r="AR76" i="1"/>
  <c r="AS76" i="1" s="1"/>
  <c r="H74" i="5"/>
  <c r="P77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P83" i="5"/>
  <c r="H67" i="5"/>
  <c r="H68" i="5"/>
  <c r="H69" i="5"/>
  <c r="H70" i="5"/>
  <c r="H71" i="5"/>
  <c r="H72" i="5"/>
  <c r="H73" i="5"/>
  <c r="P8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P82" i="5"/>
  <c r="H66" i="5"/>
  <c r="H65" i="5"/>
  <c r="P72" i="5"/>
  <c r="P73" i="5"/>
  <c r="P74" i="5"/>
  <c r="P75" i="5"/>
  <c r="P76" i="5"/>
  <c r="H20" i="5"/>
  <c r="P20" i="5"/>
  <c r="P90" i="5"/>
  <c r="P89" i="5"/>
  <c r="P88" i="5"/>
  <c r="P87" i="5"/>
  <c r="P86" i="5"/>
  <c r="P85" i="5"/>
  <c r="P81" i="5"/>
  <c r="P80" i="5"/>
  <c r="P79" i="5"/>
  <c r="P78" i="5"/>
  <c r="AR16" i="1"/>
  <c r="AS16" i="1" s="1"/>
  <c r="AR14" i="1"/>
  <c r="AR19" i="1"/>
  <c r="AS19" i="1" s="1"/>
  <c r="AR18" i="1"/>
  <c r="AR17" i="1"/>
  <c r="AR15" i="1"/>
  <c r="AS15" i="1" s="1"/>
  <c r="F77" i="5"/>
  <c r="F19" i="5"/>
  <c r="F51" i="5"/>
  <c r="F50" i="5"/>
  <c r="F49" i="5"/>
  <c r="F48" i="5"/>
  <c r="F47" i="5"/>
  <c r="F46" i="5"/>
  <c r="F45" i="5"/>
  <c r="F44" i="5"/>
  <c r="F53" i="5"/>
  <c r="F82" i="5"/>
  <c r="F81" i="5"/>
  <c r="F80" i="5"/>
  <c r="F79" i="5"/>
  <c r="F78" i="5"/>
  <c r="F54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2" i="5"/>
  <c r="E98" i="5"/>
  <c r="M100" i="5"/>
  <c r="G100" i="5"/>
  <c r="M99" i="5"/>
  <c r="M101" i="5" s="1"/>
  <c r="G99" i="5"/>
  <c r="O99" i="5"/>
  <c r="O97" i="5"/>
  <c r="O91" i="5"/>
  <c r="G91" i="5"/>
  <c r="G97" i="5"/>
  <c r="Q96" i="5"/>
  <c r="M96" i="5"/>
  <c r="E10" i="5" s="1"/>
  <c r="M91" i="5"/>
  <c r="I96" i="5"/>
  <c r="E96" i="5"/>
  <c r="E3" i="5" s="1"/>
  <c r="E91" i="5"/>
  <c r="B38" i="6"/>
  <c r="B24" i="6"/>
  <c r="B23" i="6"/>
  <c r="B2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40" i="6"/>
  <c r="B39" i="6"/>
  <c r="B37" i="6"/>
  <c r="B36" i="6"/>
  <c r="B35" i="6"/>
  <c r="B34" i="6"/>
  <c r="B33" i="6"/>
  <c r="B32" i="6"/>
  <c r="B3" i="6"/>
  <c r="B31" i="6"/>
  <c r="B4" i="6"/>
  <c r="B30" i="6"/>
  <c r="B5" i="6"/>
  <c r="B29" i="6"/>
  <c r="B6" i="6"/>
  <c r="B28" i="6"/>
  <c r="B7" i="6"/>
  <c r="B27" i="6"/>
  <c r="B8" i="6"/>
  <c r="B26" i="6"/>
  <c r="B9" i="6"/>
  <c r="B10" i="6"/>
  <c r="B11" i="6"/>
  <c r="B12" i="6"/>
  <c r="B13" i="6"/>
  <c r="B14" i="6"/>
  <c r="B15" i="6"/>
  <c r="B16" i="6"/>
  <c r="B17" i="6"/>
  <c r="B18" i="6"/>
  <c r="B19" i="6"/>
  <c r="B20" i="6"/>
  <c r="B22" i="6"/>
  <c r="B25" i="6"/>
  <c r="B41" i="6"/>
  <c r="F36" i="5"/>
  <c r="N19" i="5"/>
  <c r="F20" i="5"/>
  <c r="F21" i="5"/>
  <c r="F84" i="5"/>
  <c r="F31" i="5"/>
  <c r="F22" i="5"/>
  <c r="F23" i="5"/>
  <c r="F83" i="5"/>
  <c r="F85" i="5"/>
  <c r="F24" i="5"/>
  <c r="F41" i="5"/>
  <c r="F25" i="5"/>
  <c r="F33" i="5"/>
  <c r="F26" i="5"/>
  <c r="F86" i="5"/>
  <c r="F27" i="5"/>
  <c r="F28" i="5"/>
  <c r="F29" i="5"/>
  <c r="F30" i="5"/>
  <c r="F34" i="5"/>
  <c r="F87" i="5"/>
  <c r="F35" i="5"/>
  <c r="F88" i="5"/>
  <c r="F40" i="5"/>
  <c r="F43" i="5"/>
  <c r="F39" i="5"/>
  <c r="F42" i="5"/>
  <c r="F38" i="5"/>
  <c r="F90" i="5"/>
  <c r="F37" i="5"/>
  <c r="F89" i="5"/>
  <c r="F32" i="5"/>
  <c r="BA77" i="1"/>
  <c r="AN77" i="1"/>
  <c r="AA77" i="1"/>
  <c r="G77" i="1"/>
  <c r="K77" i="1" s="1"/>
  <c r="L77" i="1" s="1"/>
  <c r="BA76" i="1"/>
  <c r="AN76" i="1"/>
  <c r="AA76" i="1"/>
  <c r="G76" i="1"/>
  <c r="K76" i="1" s="1"/>
  <c r="L76" i="1" s="1"/>
  <c r="BA75" i="1"/>
  <c r="AN75" i="1"/>
  <c r="AA75" i="1"/>
  <c r="G75" i="1"/>
  <c r="BA74" i="1"/>
  <c r="AN74" i="1"/>
  <c r="AA74" i="1"/>
  <c r="G74" i="1"/>
  <c r="BA73" i="1"/>
  <c r="AN73" i="1"/>
  <c r="AA73" i="1"/>
  <c r="G73" i="1"/>
  <c r="BA72" i="1"/>
  <c r="AN72" i="1"/>
  <c r="AA72" i="1"/>
  <c r="G72" i="1"/>
  <c r="BA71" i="1"/>
  <c r="AN71" i="1"/>
  <c r="AA71" i="1"/>
  <c r="G71" i="1"/>
  <c r="BA70" i="1"/>
  <c r="AN70" i="1"/>
  <c r="AA70" i="1"/>
  <c r="G70" i="1"/>
  <c r="BA69" i="1"/>
  <c r="AN69" i="1"/>
  <c r="AA69" i="1"/>
  <c r="G69" i="1"/>
  <c r="BA68" i="1"/>
  <c r="AN68" i="1"/>
  <c r="G68" i="1"/>
  <c r="BA67" i="1"/>
  <c r="AN67" i="1"/>
  <c r="AA67" i="1"/>
  <c r="G67" i="1"/>
  <c r="BA66" i="1"/>
  <c r="AN66" i="1"/>
  <c r="AA66" i="1"/>
  <c r="G66" i="1"/>
  <c r="BA65" i="1"/>
  <c r="AN65" i="1"/>
  <c r="AA65" i="1"/>
  <c r="G65" i="1"/>
  <c r="BA64" i="1"/>
  <c r="AN64" i="1"/>
  <c r="AA64" i="1"/>
  <c r="G64" i="1"/>
  <c r="BA63" i="1"/>
  <c r="AN63" i="1"/>
  <c r="AA63" i="1"/>
  <c r="G63" i="1"/>
  <c r="BA62" i="1"/>
  <c r="AN62" i="1"/>
  <c r="AA62" i="1"/>
  <c r="G62" i="1"/>
  <c r="BA61" i="1"/>
  <c r="AN61" i="1"/>
  <c r="AA61" i="1"/>
  <c r="G61" i="1"/>
  <c r="BA60" i="1"/>
  <c r="AN60" i="1"/>
  <c r="AA60" i="1"/>
  <c r="G60" i="1"/>
  <c r="BA59" i="1"/>
  <c r="AN59" i="1"/>
  <c r="AA59" i="1"/>
  <c r="G59" i="1"/>
  <c r="BA58" i="1"/>
  <c r="AN58" i="1"/>
  <c r="AA58" i="1"/>
  <c r="G58" i="1"/>
  <c r="BA57" i="1"/>
  <c r="AN57" i="1"/>
  <c r="AA57" i="1"/>
  <c r="G57" i="1"/>
  <c r="BA56" i="1"/>
  <c r="AN56" i="1"/>
  <c r="AA56" i="1"/>
  <c r="G56" i="1"/>
  <c r="BA55" i="1"/>
  <c r="AN55" i="1"/>
  <c r="AA55" i="1"/>
  <c r="G55" i="1"/>
  <c r="BA54" i="1"/>
  <c r="AN54" i="1"/>
  <c r="AA54" i="1"/>
  <c r="G54" i="1"/>
  <c r="BA53" i="1"/>
  <c r="AN53" i="1"/>
  <c r="AA53" i="1"/>
  <c r="G53" i="1"/>
  <c r="BA52" i="1"/>
  <c r="AN52" i="1"/>
  <c r="AA52" i="1"/>
  <c r="G52" i="1"/>
  <c r="BA51" i="1"/>
  <c r="AN51" i="1"/>
  <c r="AA51" i="1"/>
  <c r="G51" i="1"/>
  <c r="BA50" i="1"/>
  <c r="AN50" i="1"/>
  <c r="AA50" i="1"/>
  <c r="G50" i="1"/>
  <c r="BA49" i="1"/>
  <c r="AN49" i="1"/>
  <c r="AA49" i="1"/>
  <c r="G49" i="1"/>
  <c r="BA48" i="1"/>
  <c r="AN48" i="1"/>
  <c r="AA48" i="1"/>
  <c r="G48" i="1"/>
  <c r="BA47" i="1"/>
  <c r="AN47" i="1"/>
  <c r="AA47" i="1"/>
  <c r="G47" i="1"/>
  <c r="BA46" i="1"/>
  <c r="AN46" i="1"/>
  <c r="AA46" i="1"/>
  <c r="G46" i="1"/>
  <c r="BA45" i="1"/>
  <c r="AN45" i="1"/>
  <c r="AA45" i="1"/>
  <c r="G45" i="1"/>
  <c r="BA44" i="1"/>
  <c r="AN44" i="1"/>
  <c r="AA44" i="1"/>
  <c r="G44" i="1"/>
  <c r="BA43" i="1"/>
  <c r="AN43" i="1"/>
  <c r="AA43" i="1"/>
  <c r="G43" i="1"/>
  <c r="BA42" i="1"/>
  <c r="AN42" i="1"/>
  <c r="AA42" i="1"/>
  <c r="G42" i="1"/>
  <c r="BA41" i="1"/>
  <c r="AN41" i="1"/>
  <c r="AA41" i="1"/>
  <c r="G41" i="1"/>
  <c r="BA40" i="1"/>
  <c r="AN40" i="1"/>
  <c r="AA40" i="1"/>
  <c r="G40" i="1"/>
  <c r="BA39" i="1"/>
  <c r="AN39" i="1"/>
  <c r="AA39" i="1"/>
  <c r="G39" i="1"/>
  <c r="BA38" i="1"/>
  <c r="AN38" i="1"/>
  <c r="AA38" i="1"/>
  <c r="G38" i="1"/>
  <c r="BA37" i="1"/>
  <c r="AN37" i="1"/>
  <c r="AA37" i="1"/>
  <c r="G37" i="1"/>
  <c r="BA36" i="1"/>
  <c r="AN36" i="1"/>
  <c r="AA36" i="1"/>
  <c r="G36" i="1"/>
  <c r="BA35" i="1"/>
  <c r="AN35" i="1"/>
  <c r="AA35" i="1"/>
  <c r="G35" i="1"/>
  <c r="BA34" i="1"/>
  <c r="AN34" i="1"/>
  <c r="G34" i="1"/>
  <c r="BA33" i="1"/>
  <c r="AN33" i="1"/>
  <c r="AA33" i="1"/>
  <c r="G33" i="1"/>
  <c r="BA32" i="1"/>
  <c r="AN32" i="1"/>
  <c r="AA32" i="1"/>
  <c r="G32" i="1"/>
  <c r="BA31" i="1"/>
  <c r="AA31" i="1"/>
  <c r="G31" i="1"/>
  <c r="BA30" i="1"/>
  <c r="AN30" i="1"/>
  <c r="AA30" i="1"/>
  <c r="G30" i="1"/>
  <c r="BA29" i="1"/>
  <c r="AN29" i="1"/>
  <c r="AA29" i="1"/>
  <c r="G29" i="1"/>
  <c r="BA28" i="1"/>
  <c r="AN28" i="1"/>
  <c r="AA28" i="1"/>
  <c r="G28" i="1"/>
  <c r="BA27" i="1"/>
  <c r="AN27" i="1"/>
  <c r="AA27" i="1"/>
  <c r="G27" i="1"/>
  <c r="BA26" i="1"/>
  <c r="AN26" i="1"/>
  <c r="AA26" i="1"/>
  <c r="G26" i="1"/>
  <c r="BA25" i="1"/>
  <c r="AN25" i="1"/>
  <c r="AA25" i="1"/>
  <c r="G25" i="1"/>
  <c r="BA24" i="1"/>
  <c r="AN24" i="1"/>
  <c r="AA24" i="1"/>
  <c r="G24" i="1"/>
  <c r="BA23" i="1"/>
  <c r="AN23" i="1"/>
  <c r="AA23" i="1"/>
  <c r="G23" i="1"/>
  <c r="BA22" i="1"/>
  <c r="AN22" i="1"/>
  <c r="AA22" i="1"/>
  <c r="G22" i="1"/>
  <c r="BA21" i="1"/>
  <c r="AN21" i="1"/>
  <c r="AA21" i="1"/>
  <c r="G21" i="1"/>
  <c r="BA20" i="1"/>
  <c r="AN20" i="1"/>
  <c r="AA20" i="1"/>
  <c r="G20" i="1"/>
  <c r="BA19" i="1"/>
  <c r="AN19" i="1"/>
  <c r="AA19" i="1"/>
  <c r="G19" i="1"/>
  <c r="BA18" i="1"/>
  <c r="AN18" i="1"/>
  <c r="AA18" i="1"/>
  <c r="G18" i="1"/>
  <c r="BA17" i="1"/>
  <c r="AN17" i="1"/>
  <c r="AA17" i="1"/>
  <c r="G17" i="1"/>
  <c r="BA16" i="1"/>
  <c r="AN16" i="1"/>
  <c r="AA16" i="1"/>
  <c r="G16" i="1"/>
  <c r="BA15" i="1"/>
  <c r="AN15" i="1"/>
  <c r="AA15" i="1"/>
  <c r="G15" i="1"/>
  <c r="BA14" i="1"/>
  <c r="AN14" i="1"/>
  <c r="AA14" i="1"/>
  <c r="G14" i="1"/>
  <c r="BA13" i="1"/>
  <c r="AN13" i="1"/>
  <c r="AA13" i="1"/>
  <c r="G13" i="1"/>
  <c r="BA12" i="1"/>
  <c r="AN12" i="1"/>
  <c r="AA12" i="1"/>
  <c r="G12" i="1"/>
  <c r="BA11" i="1"/>
  <c r="AN11" i="1"/>
  <c r="AA11" i="1"/>
  <c r="BA10" i="1"/>
  <c r="AN10" i="1"/>
  <c r="AA10" i="1"/>
  <c r="G10" i="1"/>
  <c r="BA9" i="1"/>
  <c r="AN9" i="1"/>
  <c r="AA9" i="1"/>
  <c r="G9" i="1"/>
  <c r="BA8" i="1"/>
  <c r="AN8" i="1"/>
  <c r="AA8" i="1"/>
  <c r="G8" i="1"/>
  <c r="BA7" i="1"/>
  <c r="AN7" i="1"/>
  <c r="AA7" i="1"/>
  <c r="G7" i="1"/>
  <c r="BA6" i="1"/>
  <c r="AN6" i="1"/>
  <c r="AA6" i="1"/>
  <c r="G6" i="1"/>
  <c r="BA5" i="1"/>
  <c r="AN5" i="1"/>
  <c r="AA5" i="1"/>
  <c r="G5" i="1"/>
  <c r="BA4" i="1"/>
  <c r="AN4" i="1"/>
  <c r="AA4" i="1"/>
  <c r="BA3" i="1"/>
  <c r="BE3" i="1" s="1"/>
  <c r="AN3" i="1"/>
  <c r="AR3" i="1" s="1"/>
  <c r="AA3" i="1"/>
  <c r="AE3" i="1" s="1"/>
  <c r="AF3" i="1" s="1"/>
  <c r="G3" i="1"/>
  <c r="K3" i="1" s="1"/>
  <c r="L3" i="1" s="1"/>
  <c r="AF45" i="1" l="1"/>
  <c r="AF77" i="1"/>
  <c r="AF70" i="1"/>
  <c r="AF69" i="1"/>
  <c r="AF60" i="1"/>
  <c r="AF57" i="1"/>
  <c r="AF56" i="1"/>
  <c r="AF55" i="1"/>
  <c r="AF73" i="1"/>
  <c r="AF71" i="1"/>
  <c r="AF64" i="1"/>
  <c r="AF63" i="1"/>
  <c r="AF59" i="1"/>
  <c r="AF52" i="1"/>
  <c r="AF51" i="1"/>
  <c r="AF47" i="1"/>
  <c r="AF39" i="1"/>
  <c r="L53" i="1"/>
  <c r="L49" i="1"/>
  <c r="L47" i="1"/>
  <c r="L42" i="1"/>
  <c r="L40" i="1"/>
  <c r="L29" i="1"/>
  <c r="L75" i="1"/>
  <c r="L74" i="1"/>
  <c r="L73" i="1"/>
  <c r="L72" i="1"/>
  <c r="L70" i="1"/>
  <c r="L69" i="1"/>
  <c r="L65" i="1"/>
  <c r="L64" i="1"/>
  <c r="L63" i="1"/>
  <c r="L62" i="1"/>
  <c r="L61" i="1"/>
  <c r="L59" i="1"/>
  <c r="L58" i="1"/>
  <c r="L57" i="1"/>
  <c r="L56" i="1"/>
  <c r="L51" i="1"/>
  <c r="L50" i="1"/>
  <c r="AF46" i="1"/>
  <c r="L46" i="1"/>
  <c r="L45" i="1"/>
  <c r="AF44" i="1"/>
  <c r="AF43" i="1"/>
  <c r="L43" i="1"/>
  <c r="AF42" i="1"/>
  <c r="AF41" i="1"/>
  <c r="L41" i="1"/>
  <c r="AF40" i="1"/>
  <c r="L39" i="1"/>
  <c r="AF38" i="1"/>
  <c r="L38" i="1"/>
  <c r="L37" i="1"/>
  <c r="AF36" i="1"/>
  <c r="L36" i="1"/>
  <c r="AF35" i="1"/>
  <c r="L35" i="1"/>
  <c r="L34" i="1"/>
  <c r="AF33" i="1"/>
  <c r="AF32" i="1"/>
  <c r="L32" i="1"/>
  <c r="AF31" i="1"/>
  <c r="L31" i="1"/>
  <c r="AF30" i="1"/>
  <c r="L30" i="1"/>
  <c r="AF29" i="1"/>
  <c r="AF27" i="1"/>
  <c r="L27" i="1"/>
  <c r="L26" i="1"/>
  <c r="L25" i="1"/>
  <c r="AF24" i="1"/>
  <c r="L24" i="1"/>
  <c r="AF23" i="1"/>
  <c r="L23" i="1"/>
  <c r="AF22" i="1"/>
  <c r="L22" i="1"/>
  <c r="L21" i="1"/>
  <c r="AF20" i="1"/>
  <c r="AF19" i="1"/>
  <c r="L19" i="1"/>
  <c r="AF17" i="1"/>
  <c r="L17" i="1"/>
  <c r="L16" i="1"/>
  <c r="L15" i="1"/>
  <c r="L14" i="1"/>
  <c r="AF13" i="1"/>
  <c r="AF12" i="1"/>
  <c r="L12" i="1"/>
  <c r="AF11" i="1"/>
  <c r="AF10" i="1"/>
  <c r="L10" i="1"/>
  <c r="AF9" i="1"/>
  <c r="L9" i="1"/>
  <c r="L8" i="1"/>
  <c r="AF7" i="1"/>
  <c r="L7" i="1"/>
  <c r="AF6" i="1"/>
  <c r="L6" i="1"/>
  <c r="AF5" i="1"/>
  <c r="L5" i="1"/>
  <c r="AF4" i="1"/>
  <c r="BF6" i="1"/>
  <c r="BF5" i="1"/>
  <c r="AS5" i="1"/>
  <c r="AS4" i="1"/>
  <c r="BF3" i="1"/>
  <c r="AS3" i="1"/>
  <c r="F97" i="5"/>
  <c r="H100" i="5"/>
  <c r="AS74" i="1"/>
  <c r="AS73" i="1"/>
  <c r="AS72" i="1"/>
  <c r="AS71" i="1"/>
  <c r="AS70" i="1"/>
  <c r="AS69" i="1"/>
  <c r="AS68" i="1"/>
  <c r="AS67" i="1"/>
  <c r="AS64" i="1"/>
  <c r="AS44" i="1"/>
  <c r="AS42" i="1"/>
  <c r="AS40" i="1"/>
  <c r="AS38" i="1"/>
  <c r="AS35" i="1"/>
  <c r="AS34" i="1"/>
  <c r="AS33" i="1"/>
  <c r="AS32" i="1"/>
  <c r="AS24" i="1"/>
  <c r="AS22" i="1"/>
  <c r="AS17" i="1"/>
  <c r="AS60" i="1"/>
  <c r="AS55" i="1"/>
  <c r="AS54" i="1"/>
  <c r="AS52" i="1"/>
  <c r="AS51" i="1"/>
  <c r="AS49" i="1"/>
  <c r="AS47" i="1"/>
  <c r="AS46" i="1"/>
  <c r="AS45" i="1"/>
  <c r="AS43" i="1"/>
  <c r="AS41" i="1"/>
  <c r="AS39" i="1"/>
  <c r="AS37" i="1"/>
  <c r="AS36" i="1"/>
  <c r="AS23" i="1"/>
  <c r="AS30" i="1"/>
  <c r="AS29" i="1"/>
  <c r="AS28" i="1"/>
  <c r="AS27" i="1"/>
  <c r="AS20" i="1"/>
  <c r="AS18" i="1"/>
  <c r="AS14" i="1"/>
  <c r="E5" i="5"/>
  <c r="E101" i="5"/>
  <c r="H98" i="5"/>
  <c r="E7" i="5"/>
  <c r="E14" i="5"/>
  <c r="E13" i="5"/>
  <c r="O101" i="5"/>
  <c r="E11" i="5"/>
  <c r="G101" i="5"/>
  <c r="E4" i="5"/>
  <c r="P99" i="5"/>
  <c r="P98" i="5"/>
  <c r="C38" i="6"/>
  <c r="D38" i="6" s="1"/>
  <c r="BB39" i="1" s="1"/>
  <c r="C24" i="6"/>
  <c r="D24" i="6" s="1"/>
  <c r="BB25" i="1" s="1"/>
  <c r="C23" i="6"/>
  <c r="D23" i="6" s="1"/>
  <c r="BB24" i="1" s="1"/>
  <c r="C21" i="6"/>
  <c r="D21" i="6"/>
  <c r="BB22" i="1" s="1"/>
  <c r="C42" i="6"/>
  <c r="D42" i="6" s="1"/>
  <c r="BB43" i="1" s="1"/>
  <c r="C43" i="6"/>
  <c r="D43" i="6" s="1"/>
  <c r="BB44" i="1" s="1"/>
  <c r="C44" i="6"/>
  <c r="D44" i="6" s="1"/>
  <c r="BB45" i="1" s="1"/>
  <c r="C45" i="6"/>
  <c r="D45" i="6" s="1"/>
  <c r="BB46" i="1" s="1"/>
  <c r="C46" i="6"/>
  <c r="D46" i="6" s="1"/>
  <c r="BB47" i="1" s="1"/>
  <c r="C47" i="6"/>
  <c r="D47" i="6" s="1"/>
  <c r="BB48" i="1" s="1"/>
  <c r="C48" i="6"/>
  <c r="D48" i="6" s="1"/>
  <c r="BB49" i="1" s="1"/>
  <c r="C49" i="6"/>
  <c r="D49" i="6" s="1"/>
  <c r="BB50" i="1" s="1"/>
  <c r="C50" i="6"/>
  <c r="D50" i="6" s="1"/>
  <c r="BB51" i="1" s="1"/>
  <c r="C51" i="6"/>
  <c r="D51" i="6" s="1"/>
  <c r="BB52" i="1" s="1"/>
  <c r="C52" i="6"/>
  <c r="D52" i="6" s="1"/>
  <c r="BB53" i="1" s="1"/>
  <c r="C53" i="6"/>
  <c r="D53" i="6"/>
  <c r="BB54" i="1" s="1"/>
  <c r="C54" i="6"/>
  <c r="D54" i="6"/>
  <c r="BB55" i="1" s="1"/>
  <c r="C55" i="6"/>
  <c r="D55" i="6" s="1"/>
  <c r="BB56" i="1" s="1"/>
  <c r="C56" i="6"/>
  <c r="D56" i="6"/>
  <c r="BB57" i="1" s="1"/>
  <c r="C57" i="6"/>
  <c r="D57" i="6" s="1"/>
  <c r="BB58" i="1" s="1"/>
  <c r="C58" i="6"/>
  <c r="D58" i="6" s="1"/>
  <c r="BB59" i="1" s="1"/>
  <c r="C59" i="6"/>
  <c r="D59" i="6" s="1"/>
  <c r="BB60" i="1" s="1"/>
  <c r="C60" i="6"/>
  <c r="D60" i="6"/>
  <c r="BB61" i="1" s="1"/>
  <c r="C61" i="6"/>
  <c r="D61" i="6"/>
  <c r="BB62" i="1" s="1"/>
  <c r="C62" i="6"/>
  <c r="D62" i="6"/>
  <c r="BB63" i="1" s="1"/>
  <c r="C63" i="6"/>
  <c r="D63" i="6" s="1"/>
  <c r="BB64" i="1" s="1"/>
  <c r="C64" i="6"/>
  <c r="D64" i="6" s="1"/>
  <c r="BB65" i="1" s="1"/>
  <c r="C65" i="6"/>
  <c r="D65" i="6" s="1"/>
  <c r="BB66" i="1" s="1"/>
  <c r="C66" i="6"/>
  <c r="D66" i="6" s="1"/>
  <c r="BB67" i="1" s="1"/>
  <c r="C67" i="6"/>
  <c r="D67" i="6"/>
  <c r="BB68" i="1" s="1"/>
  <c r="C68" i="6"/>
  <c r="D68" i="6" s="1"/>
  <c r="BB69" i="1" s="1"/>
  <c r="C69" i="6"/>
  <c r="D69" i="6" s="1"/>
  <c r="BB70" i="1" s="1"/>
  <c r="C70" i="6"/>
  <c r="D70" i="6" s="1"/>
  <c r="BB71" i="1" s="1"/>
  <c r="C71" i="6"/>
  <c r="D71" i="6"/>
  <c r="BB72" i="1" s="1"/>
  <c r="C72" i="6"/>
  <c r="D72" i="6"/>
  <c r="BB73" i="1" s="1"/>
  <c r="C73" i="6"/>
  <c r="D73" i="6"/>
  <c r="BB74" i="1" s="1"/>
  <c r="C74" i="6"/>
  <c r="D74" i="6" s="1"/>
  <c r="BB75" i="1" s="1"/>
  <c r="C75" i="6"/>
  <c r="D75" i="6"/>
  <c r="BB76" i="1" s="1"/>
  <c r="C76" i="6"/>
  <c r="D76" i="6"/>
  <c r="BB77" i="1" s="1"/>
  <c r="C40" i="6"/>
  <c r="D40" i="6" s="1"/>
  <c r="BB41" i="1" s="1"/>
  <c r="C39" i="6"/>
  <c r="D39" i="6" s="1"/>
  <c r="BB40" i="1" s="1"/>
  <c r="C37" i="6"/>
  <c r="D37" i="6" s="1"/>
  <c r="BB38" i="1" s="1"/>
  <c r="C36" i="6"/>
  <c r="D36" i="6"/>
  <c r="BB37" i="1" s="1"/>
  <c r="C35" i="6"/>
  <c r="D35" i="6"/>
  <c r="BB36" i="1" s="1"/>
  <c r="C34" i="6"/>
  <c r="D34" i="6" s="1"/>
  <c r="BB35" i="1" s="1"/>
  <c r="C33" i="6"/>
  <c r="D33" i="6" s="1"/>
  <c r="BB34" i="1" s="1"/>
  <c r="C32" i="6"/>
  <c r="D32" i="6" s="1"/>
  <c r="BB33" i="1" s="1"/>
  <c r="C31" i="6"/>
  <c r="D31" i="6" s="1"/>
  <c r="BB32" i="1" s="1"/>
  <c r="C30" i="6"/>
  <c r="D30" i="6"/>
  <c r="BB31" i="1" s="1"/>
  <c r="C29" i="6"/>
  <c r="D29" i="6" s="1"/>
  <c r="BB30" i="1" s="1"/>
  <c r="C6" i="6"/>
  <c r="D6" i="6" s="1"/>
  <c r="BB7" i="1" s="1"/>
  <c r="C28" i="6"/>
  <c r="D28" i="6" s="1"/>
  <c r="BB29" i="1" s="1"/>
  <c r="C7" i="6"/>
  <c r="D7" i="6"/>
  <c r="BB8" i="1" s="1"/>
  <c r="C27" i="6"/>
  <c r="D27" i="6" s="1"/>
  <c r="BB28" i="1" s="1"/>
  <c r="C8" i="6"/>
  <c r="D8" i="6" s="1"/>
  <c r="BB9" i="1" s="1"/>
  <c r="C26" i="6"/>
  <c r="D26" i="6" s="1"/>
  <c r="BB27" i="1" s="1"/>
  <c r="C9" i="6"/>
  <c r="D9" i="6" s="1"/>
  <c r="BB10" i="1" s="1"/>
  <c r="C10" i="6"/>
  <c r="D10" i="6" s="1"/>
  <c r="BB11" i="1" s="1"/>
  <c r="C11" i="6"/>
  <c r="D11" i="6"/>
  <c r="BB12" i="1" s="1"/>
  <c r="C12" i="6"/>
  <c r="D12" i="6"/>
  <c r="BB13" i="1" s="1"/>
  <c r="C13" i="6"/>
  <c r="D13" i="6"/>
  <c r="BB14" i="1" s="1"/>
  <c r="C14" i="6"/>
  <c r="D14" i="6" s="1"/>
  <c r="BB15" i="1" s="1"/>
  <c r="C15" i="6"/>
  <c r="D15" i="6"/>
  <c r="BB16" i="1" s="1"/>
  <c r="C16" i="6"/>
  <c r="D16" i="6"/>
  <c r="BB17" i="1" s="1"/>
  <c r="C17" i="6"/>
  <c r="D17" i="6" s="1"/>
  <c r="BB18" i="1" s="1"/>
  <c r="C18" i="6"/>
  <c r="D18" i="6" s="1"/>
  <c r="BB19" i="1" s="1"/>
  <c r="C19" i="6"/>
  <c r="D19" i="6"/>
  <c r="BB20" i="1" s="1"/>
  <c r="C20" i="6"/>
  <c r="D20" i="6"/>
  <c r="BB21" i="1" s="1"/>
  <c r="C22" i="6"/>
  <c r="D22" i="6" s="1"/>
  <c r="BB23" i="1" s="1"/>
  <c r="C25" i="6"/>
  <c r="D25" i="6" s="1"/>
  <c r="BB26" i="1" s="1"/>
  <c r="C41" i="6"/>
  <c r="D41" i="6"/>
  <c r="BB42" i="1" s="1"/>
  <c r="N96" i="5"/>
  <c r="N91" i="5"/>
  <c r="F91" i="5"/>
  <c r="F96" i="5"/>
  <c r="P91" i="5"/>
  <c r="P97" i="5"/>
  <c r="H97" i="5"/>
  <c r="H91" i="5"/>
  <c r="H99" i="5"/>
  <c r="P100" i="5"/>
  <c r="N99" i="5"/>
  <c r="N97" i="5"/>
  <c r="N100" i="5"/>
  <c r="F100" i="5"/>
  <c r="F99" i="5"/>
  <c r="F98" i="5"/>
  <c r="N98" i="5"/>
  <c r="I52" i="5" l="1"/>
  <c r="Q52" i="5"/>
  <c r="BE39" i="1"/>
  <c r="BF39" i="1" s="1"/>
  <c r="I38" i="5"/>
  <c r="BE25" i="1"/>
  <c r="BF25" i="1" s="1"/>
  <c r="Q38" i="5"/>
  <c r="BE24" i="1"/>
  <c r="BF24" i="1" s="1"/>
  <c r="I37" i="5"/>
  <c r="Q37" i="5"/>
  <c r="I35" i="5"/>
  <c r="BE22" i="1"/>
  <c r="BF22" i="1" s="1"/>
  <c r="Q35" i="5"/>
  <c r="I56" i="5"/>
  <c r="BE43" i="1"/>
  <c r="BF43" i="1" s="1"/>
  <c r="Q56" i="5"/>
  <c r="BE44" i="1"/>
  <c r="BF44" i="1" s="1"/>
  <c r="Q57" i="5"/>
  <c r="I57" i="5"/>
  <c r="I58" i="5"/>
  <c r="BE45" i="1"/>
  <c r="BF45" i="1" s="1"/>
  <c r="Q58" i="5"/>
  <c r="BE46" i="1"/>
  <c r="BF46" i="1" s="1"/>
  <c r="Q59" i="5"/>
  <c r="I59" i="5"/>
  <c r="BE47" i="1"/>
  <c r="BF47" i="1" s="1"/>
  <c r="I60" i="5"/>
  <c r="Q60" i="5"/>
  <c r="BE48" i="1"/>
  <c r="BF48" i="1" s="1"/>
  <c r="Q61" i="5"/>
  <c r="I61" i="5"/>
  <c r="Q62" i="5"/>
  <c r="I62" i="5"/>
  <c r="BE49" i="1"/>
  <c r="BF49" i="1" s="1"/>
  <c r="I63" i="5"/>
  <c r="BE50" i="1"/>
  <c r="BF50" i="1" s="1"/>
  <c r="Q63" i="5"/>
  <c r="Q64" i="5"/>
  <c r="BE51" i="1"/>
  <c r="BF51" i="1" s="1"/>
  <c r="I64" i="5"/>
  <c r="I65" i="5"/>
  <c r="BE52" i="1"/>
  <c r="BF52" i="1" s="1"/>
  <c r="Q65" i="5"/>
  <c r="I66" i="5"/>
  <c r="BE53" i="1"/>
  <c r="BF53" i="1" s="1"/>
  <c r="Q66" i="5"/>
  <c r="I67" i="5"/>
  <c r="BE54" i="1"/>
  <c r="BF54" i="1" s="1"/>
  <c r="Q67" i="5"/>
  <c r="I68" i="5"/>
  <c r="BE55" i="1"/>
  <c r="BF55" i="1" s="1"/>
  <c r="Q68" i="5"/>
  <c r="I69" i="5"/>
  <c r="BE56" i="1"/>
  <c r="BF56" i="1" s="1"/>
  <c r="Q69" i="5"/>
  <c r="I70" i="5"/>
  <c r="BE57" i="1"/>
  <c r="BF57" i="1" s="1"/>
  <c r="Q70" i="5"/>
  <c r="I71" i="5"/>
  <c r="BE58" i="1"/>
  <c r="BF58" i="1" s="1"/>
  <c r="Q71" i="5"/>
  <c r="I72" i="5"/>
  <c r="BE59" i="1"/>
  <c r="BF59" i="1" s="1"/>
  <c r="Q72" i="5"/>
  <c r="I73" i="5"/>
  <c r="BE60" i="1"/>
  <c r="BF60" i="1" s="1"/>
  <c r="Q73" i="5"/>
  <c r="I74" i="5"/>
  <c r="Q74" i="5"/>
  <c r="BE61" i="1"/>
  <c r="BF61" i="1" s="1"/>
  <c r="Q75" i="5"/>
  <c r="BE62" i="1"/>
  <c r="BF62" i="1" s="1"/>
  <c r="I75" i="5"/>
  <c r="I76" i="5"/>
  <c r="Q76" i="5"/>
  <c r="BE63" i="1"/>
  <c r="BF63" i="1" s="1"/>
  <c r="Q77" i="5"/>
  <c r="BE64" i="1"/>
  <c r="BF64" i="1" s="1"/>
  <c r="I77" i="5"/>
  <c r="I78" i="5"/>
  <c r="BE65" i="1"/>
  <c r="BF65" i="1" s="1"/>
  <c r="Q78" i="5"/>
  <c r="BE66" i="1"/>
  <c r="BF66" i="1" s="1"/>
  <c r="I79" i="5"/>
  <c r="Q79" i="5"/>
  <c r="I80" i="5"/>
  <c r="Q80" i="5"/>
  <c r="BE67" i="1"/>
  <c r="BF67" i="1" s="1"/>
  <c r="I81" i="5"/>
  <c r="Q81" i="5"/>
  <c r="BE68" i="1"/>
  <c r="BF68" i="1" s="1"/>
  <c r="BE69" i="1"/>
  <c r="BF69" i="1" s="1"/>
  <c r="I82" i="5"/>
  <c r="Q82" i="5"/>
  <c r="I83" i="5"/>
  <c r="BE70" i="1"/>
  <c r="BF70" i="1" s="1"/>
  <c r="Q83" i="5"/>
  <c r="BE71" i="1"/>
  <c r="BF71" i="1" s="1"/>
  <c r="Q84" i="5"/>
  <c r="I84" i="5"/>
  <c r="BE72" i="1"/>
  <c r="BF72" i="1" s="1"/>
  <c r="I85" i="5"/>
  <c r="Q85" i="5"/>
  <c r="BE73" i="1"/>
  <c r="BF73" i="1" s="1"/>
  <c r="Q86" i="5"/>
  <c r="I86" i="5"/>
  <c r="BE74" i="1"/>
  <c r="BF74" i="1" s="1"/>
  <c r="Q87" i="5"/>
  <c r="I87" i="5"/>
  <c r="Q88" i="5"/>
  <c r="BE75" i="1"/>
  <c r="BF75" i="1" s="1"/>
  <c r="I88" i="5"/>
  <c r="I89" i="5"/>
  <c r="Q89" i="5"/>
  <c r="BE76" i="1"/>
  <c r="BF76" i="1" s="1"/>
  <c r="Q90" i="5"/>
  <c r="BE77" i="1"/>
  <c r="BF77" i="1" s="1"/>
  <c r="I90" i="5"/>
  <c r="Q54" i="5"/>
  <c r="I54" i="5"/>
  <c r="BE41" i="1"/>
  <c r="BF41" i="1" s="1"/>
  <c r="Q53" i="5"/>
  <c r="I53" i="5"/>
  <c r="BE40" i="1"/>
  <c r="BF40" i="1" s="1"/>
  <c r="I51" i="5"/>
  <c r="Q51" i="5"/>
  <c r="BE38" i="1"/>
  <c r="BF38" i="1" s="1"/>
  <c r="I50" i="5"/>
  <c r="BE37" i="1"/>
  <c r="BF37" i="1" s="1"/>
  <c r="Q50" i="5"/>
  <c r="I49" i="5"/>
  <c r="Q49" i="5"/>
  <c r="BE36" i="1"/>
  <c r="BF36" i="1" s="1"/>
  <c r="I48" i="5"/>
  <c r="Q48" i="5"/>
  <c r="BE35" i="1"/>
  <c r="BF35" i="1" s="1"/>
  <c r="I47" i="5"/>
  <c r="Q47" i="5"/>
  <c r="BE34" i="1"/>
  <c r="BF34" i="1" s="1"/>
  <c r="Q46" i="5"/>
  <c r="I46" i="5"/>
  <c r="BE33" i="1"/>
  <c r="BF33" i="1" s="1"/>
  <c r="I45" i="5"/>
  <c r="BE32" i="1"/>
  <c r="BF32" i="1" s="1"/>
  <c r="Q45" i="5"/>
  <c r="BE31" i="1"/>
  <c r="BF31" i="1" s="1"/>
  <c r="Q44" i="5"/>
  <c r="I44" i="5"/>
  <c r="Q43" i="5"/>
  <c r="BE30" i="1"/>
  <c r="BF30" i="1" s="1"/>
  <c r="I43" i="5"/>
  <c r="Q20" i="5"/>
  <c r="BE7" i="1"/>
  <c r="BF7" i="1" s="1"/>
  <c r="I20" i="5"/>
  <c r="I42" i="5"/>
  <c r="BE29" i="1"/>
  <c r="BF29" i="1" s="1"/>
  <c r="Q42" i="5"/>
  <c r="Q21" i="5"/>
  <c r="BE8" i="1"/>
  <c r="BF8" i="1" s="1"/>
  <c r="I21" i="5"/>
  <c r="I41" i="5"/>
  <c r="Q41" i="5"/>
  <c r="BE28" i="1"/>
  <c r="BF28" i="1" s="1"/>
  <c r="Q22" i="5"/>
  <c r="I22" i="5"/>
  <c r="BE9" i="1"/>
  <c r="BF9" i="1" s="1"/>
  <c r="BE27" i="1"/>
  <c r="BF27" i="1" s="1"/>
  <c r="Q40" i="5"/>
  <c r="I40" i="5"/>
  <c r="BE10" i="1"/>
  <c r="BF10" i="1" s="1"/>
  <c r="I23" i="5"/>
  <c r="Q23" i="5"/>
  <c r="BE11" i="1"/>
  <c r="BF11" i="1" s="1"/>
  <c r="I24" i="5"/>
  <c r="Q24" i="5"/>
  <c r="BE12" i="1"/>
  <c r="BF12" i="1" s="1"/>
  <c r="I25" i="5"/>
  <c r="Q25" i="5"/>
  <c r="BE13" i="1"/>
  <c r="BF13" i="1" s="1"/>
  <c r="Q26" i="5"/>
  <c r="I26" i="5"/>
  <c r="Q27" i="5"/>
  <c r="BE14" i="1"/>
  <c r="BF14" i="1" s="1"/>
  <c r="I27" i="5"/>
  <c r="Q28" i="5"/>
  <c r="I28" i="5"/>
  <c r="BE15" i="1"/>
  <c r="BF15" i="1" s="1"/>
  <c r="I29" i="5"/>
  <c r="Q29" i="5"/>
  <c r="BE16" i="1"/>
  <c r="BF16" i="1" s="1"/>
  <c r="I30" i="5"/>
  <c r="Q30" i="5"/>
  <c r="BE17" i="1"/>
  <c r="BF17" i="1" s="1"/>
  <c r="I31" i="5"/>
  <c r="BE18" i="1"/>
  <c r="BF18" i="1" s="1"/>
  <c r="Q31" i="5"/>
  <c r="I32" i="5"/>
  <c r="BE19" i="1"/>
  <c r="BF19" i="1" s="1"/>
  <c r="Q32" i="5"/>
  <c r="I33" i="5"/>
  <c r="BE20" i="1"/>
  <c r="BF20" i="1" s="1"/>
  <c r="Q33" i="5"/>
  <c r="I34" i="5"/>
  <c r="BE21" i="1"/>
  <c r="BF21" i="1" s="1"/>
  <c r="Q34" i="5"/>
  <c r="I36" i="5"/>
  <c r="BE23" i="1"/>
  <c r="BF23" i="1" s="1"/>
  <c r="Q36" i="5"/>
  <c r="BE26" i="1"/>
  <c r="BF26" i="1" s="1"/>
  <c r="Q39" i="5"/>
  <c r="I39" i="5"/>
  <c r="I55" i="5"/>
  <c r="BE42" i="1"/>
  <c r="BF42" i="1" s="1"/>
  <c r="Q55" i="5"/>
  <c r="E8" i="5"/>
  <c r="E15" i="5"/>
  <c r="F13" i="5"/>
  <c r="H13" i="5" s="1"/>
  <c r="F11" i="5"/>
  <c r="H11" i="5" s="1"/>
  <c r="F14" i="5"/>
  <c r="H14" i="5" s="1"/>
  <c r="F12" i="5"/>
  <c r="H12" i="5" s="1"/>
  <c r="F6" i="5"/>
  <c r="H6" i="5" s="1"/>
  <c r="F4" i="5"/>
  <c r="H4" i="5" s="1"/>
  <c r="G10" i="5"/>
  <c r="I10" i="5" s="1"/>
  <c r="F10" i="5"/>
  <c r="H10" i="5" s="1"/>
  <c r="F3" i="5"/>
  <c r="H3" i="5" s="1"/>
  <c r="G3" i="5"/>
  <c r="I3" i="5" s="1"/>
  <c r="F7" i="5"/>
  <c r="H7" i="5" s="1"/>
  <c r="F5" i="5"/>
  <c r="H5" i="5" s="1"/>
  <c r="F101" i="5"/>
  <c r="F102" i="5" s="1"/>
  <c r="N101" i="5"/>
  <c r="P101" i="5"/>
  <c r="P102" i="5" s="1"/>
  <c r="H101" i="5"/>
  <c r="I99" i="5" l="1"/>
  <c r="G6" i="5" s="1"/>
  <c r="I6" i="5" s="1"/>
  <c r="Q99" i="5"/>
  <c r="G13" i="5" s="1"/>
  <c r="I13" i="5" s="1"/>
  <c r="H102" i="5"/>
  <c r="F8" i="5"/>
  <c r="H8" i="5" s="1"/>
  <c r="F15" i="5"/>
  <c r="H15" i="5" s="1"/>
  <c r="I91" i="5"/>
  <c r="I97" i="5"/>
  <c r="G4" i="5" s="1"/>
  <c r="I4" i="5" s="1"/>
  <c r="Q91" i="5"/>
  <c r="Q97" i="5"/>
  <c r="G11" i="5" s="1"/>
  <c r="I11" i="5" s="1"/>
  <c r="N102" i="5"/>
  <c r="I98" i="5"/>
  <c r="G5" i="5" s="1"/>
  <c r="I5" i="5" s="1"/>
  <c r="Q98" i="5"/>
  <c r="G12" i="5" s="1"/>
  <c r="I12" i="5" s="1"/>
  <c r="I100" i="5"/>
  <c r="G7" i="5" s="1"/>
  <c r="I7" i="5" s="1"/>
  <c r="Q100" i="5"/>
  <c r="G14" i="5" s="1"/>
  <c r="I14" i="5" s="1"/>
  <c r="I101" i="5" l="1"/>
  <c r="G8" i="5" s="1"/>
  <c r="I8" i="5" s="1"/>
  <c r="Q101" i="5"/>
  <c r="G15" i="5" l="1"/>
  <c r="I15" i="5" s="1"/>
  <c r="Q102" i="5"/>
  <c r="I10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97E0D55-CA41-4346-8A70-F4DDCC5DA719}" name="EU_Conscription_Overview" type="6" refreshedVersion="8" background="1" saveData="1">
    <textPr sourceFile="/Users/jankofron/Downloads/EU_Conscription_Overview.csv" decimal="," thousands=" " tab="0" comma="1">
      <textFields count="6"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<sst xmlns="http://schemas.openxmlformats.org/spreadsheetml/2006/main" count="243" uniqueCount="156">
  <si>
    <t>Tarif</t>
  </si>
  <si>
    <t>Nábor_p</t>
  </si>
  <si>
    <t>Stabil_p</t>
  </si>
  <si>
    <t>Hodnost:</t>
  </si>
  <si>
    <t>Let_v_AZ</t>
  </si>
  <si>
    <t>OSVČ</t>
  </si>
  <si>
    <t>Osvč_náhr</t>
  </si>
  <si>
    <t>štábní praporčík</t>
  </si>
  <si>
    <t>nadpraporčík</t>
  </si>
  <si>
    <t>praporčík</t>
  </si>
  <si>
    <t>nadrotmistr</t>
  </si>
  <si>
    <t>rotmistr</t>
  </si>
  <si>
    <t>rotný</t>
  </si>
  <si>
    <t>četař</t>
  </si>
  <si>
    <t>desátník</t>
  </si>
  <si>
    <t>svobodník</t>
  </si>
  <si>
    <t>kapitán</t>
  </si>
  <si>
    <t>nadporučík</t>
  </si>
  <si>
    <t>poručík</t>
  </si>
  <si>
    <t>Zvýšená odměna na den</t>
  </si>
  <si>
    <t>Zvýš_odm</t>
  </si>
  <si>
    <t>Dní_odsl</t>
  </si>
  <si>
    <t>Daněné položky daněny 15 % (v reálu bude záviset na příjmech člena AZ)</t>
  </si>
  <si>
    <t>Počet dní v měsíci stanoven na 30</t>
  </si>
  <si>
    <t>určeno známkami 1-4, kdy 1 = nejlepší a 4 = nevyhovující</t>
  </si>
  <si>
    <t xml:space="preserve">https://doarmady.mo.gov.cz/o-armade/uplatneni-v-armade/vojak-v-zaloze/vojak-v-aktivni-zaloze/kolik-si-vydelam-a-dostanu-naborovy-prispevek </t>
  </si>
  <si>
    <t>Odm_rok</t>
  </si>
  <si>
    <t>Suma_rok</t>
  </si>
  <si>
    <t>Alt model 2</t>
  </si>
  <si>
    <t>Alt model 1</t>
  </si>
  <si>
    <t>Douška</t>
  </si>
  <si>
    <t>Voják má vždy zaplacen počet dní cvičení + 1 (zde vycházíme z fikce, že voják se účastní sedmidenních výcviků)</t>
  </si>
  <si>
    <t>Dní</t>
  </si>
  <si>
    <t>pct_nar</t>
  </si>
  <si>
    <t>Pct_nar</t>
  </si>
  <si>
    <t>Tento model pracuje s odměnami po 2, 3 a 4 týdnech. Odměna 28 000, 38000 a 48000 kč</t>
  </si>
  <si>
    <t>DOUŠKA</t>
  </si>
  <si>
    <t>dny odměna</t>
  </si>
  <si>
    <t>Sum_odměna</t>
  </si>
  <si>
    <t>Tarif totožný, stabilizák/náborák též. Zvýšená odměna navázána na plat vojína. Výpočet roční odměny viz List "Roční odměna Alt model"</t>
  </si>
  <si>
    <t>Základní model I.</t>
  </si>
  <si>
    <t>Základní model II.</t>
  </si>
  <si>
    <t>dní odcvičeno</t>
  </si>
  <si>
    <t>&lt;14</t>
  </si>
  <si>
    <t>Suma</t>
  </si>
  <si>
    <t>Náklady zv. Odměna</t>
  </si>
  <si>
    <t>Nákl. Zvýšená odměna Alt</t>
  </si>
  <si>
    <t>Podíl osob %</t>
  </si>
  <si>
    <t>Suma_14-20</t>
  </si>
  <si>
    <t>Suma_21-35</t>
  </si>
  <si>
    <t>Suma_35_49</t>
  </si>
  <si>
    <t>Sum_49+</t>
  </si>
  <si>
    <t>Avg</t>
  </si>
  <si>
    <t>Náklady na roční Odměnu dnes</t>
  </si>
  <si>
    <t xml:space="preserve">Náklady na roční odměnu alt 1 </t>
  </si>
  <si>
    <t xml:space="preserve">Náklady na roční odměnu alt 2 </t>
  </si>
  <si>
    <t>Pct dif</t>
  </si>
  <si>
    <t>Suma__14</t>
  </si>
  <si>
    <t>Sc. 1</t>
  </si>
  <si>
    <t>Sc. 2</t>
  </si>
  <si>
    <t>Neuvažujeme odměnu pro studenty (6 000 kč).</t>
  </si>
  <si>
    <t>Ta náleží studentovi při zařazení do AZ, jelikož naším primárním cílem není otázka vstupu do AZ, neřešíme</t>
  </si>
  <si>
    <t>Scenář</t>
  </si>
  <si>
    <t>14-20</t>
  </si>
  <si>
    <t>21-34</t>
  </si>
  <si>
    <t>35-48</t>
  </si>
  <si>
    <t>&gt;48</t>
  </si>
  <si>
    <t>% záložníků</t>
  </si>
  <si>
    <t xml:space="preserve"> dnešní model</t>
  </si>
  <si>
    <t>Alt1_pct</t>
  </si>
  <si>
    <t>Alt2_pct</t>
  </si>
  <si>
    <t>Současná hodnota</t>
  </si>
  <si>
    <t>Plat vojína</t>
  </si>
  <si>
    <t>Vojín</t>
  </si>
  <si>
    <t>Odměna roční</t>
  </si>
  <si>
    <t>&lt;14 (pr. 10)</t>
  </si>
  <si>
    <t>kč/den</t>
  </si>
  <si>
    <t>Proplacené dny = odsloužené dny 7+1</t>
  </si>
  <si>
    <t>Naším cílem není modelovat první rok zařazení do AZ, kdy vojáci AZ tipicky absolvují KZP</t>
  </si>
  <si>
    <t>Model</t>
  </si>
  <si>
    <t>Vícenáklady</t>
  </si>
  <si>
    <t>Služební hodnocení</t>
  </si>
  <si>
    <t>Kontrakt délka</t>
  </si>
  <si>
    <t>Prúměrná Mzda</t>
  </si>
  <si>
    <t>Alt 1 odměna roční</t>
  </si>
  <si>
    <t>Alt_odměna SluHo</t>
  </si>
  <si>
    <t>Alt odměna TV</t>
  </si>
  <si>
    <t>Alt zvýšená odměna na den</t>
  </si>
  <si>
    <t>Vstupní hodnoty položek, které jsou v alternativních modelelch upraveny. Odměna za odsloužené dny (Roční odměna) je na listě "roční odměna Alt model 2</t>
  </si>
  <si>
    <t>Vstupní hodnoty položek pro základní modely</t>
  </si>
  <si>
    <t xml:space="preserve">TV hodnocení </t>
  </si>
  <si>
    <t>Pozn 1</t>
  </si>
  <si>
    <t>Pozn 2</t>
  </si>
  <si>
    <t>Interval dní cvičení</t>
  </si>
  <si>
    <t>Základ odměny</t>
  </si>
  <si>
    <t>TV hodnocení je obráceno, tedy 1 = nejlepší, 4 = nejhorší</t>
  </si>
  <si>
    <t>Vychází z platu vojína, po 14 dnech nárok na 14/30 platu vojína, následně je každý den přídána 1/30 platu vojína</t>
  </si>
  <si>
    <t xml:space="preserve">Ponechán </t>
  </si>
  <si>
    <t>Distribuce</t>
  </si>
  <si>
    <t>2 - (4)</t>
  </si>
  <si>
    <t>4-(7)</t>
  </si>
  <si>
    <t>7-(10)</t>
  </si>
  <si>
    <t>10-(13)</t>
  </si>
  <si>
    <t>&lt;2</t>
  </si>
  <si>
    <t>&gt;=13</t>
  </si>
  <si>
    <t>Sum</t>
  </si>
  <si>
    <t>Počet AZ z 10000</t>
  </si>
  <si>
    <t>Zde je roční doměna navázána na hrubý plat vojína (zaokrouhleně). Při absolvování 14 dní se vyplácí 1/2 platu vojína. Následně je každý den bonifikován poměrným dílem nedaněného platu vojína dle odsloužených dní (k výpočtu je použit měsíc o 30 dnech). Není započítáno SluHo</t>
  </si>
  <si>
    <t>Odslouženo let</t>
  </si>
  <si>
    <t>Ve vymodřeném sloupci lze upravit distribuci odsloužených let. 
Ověř, že součet = 1</t>
  </si>
  <si>
    <t>Distribuce odsloužených let v AZ</t>
  </si>
  <si>
    <t xml:space="preserve"> Alt1</t>
  </si>
  <si>
    <t xml:space="preserve"> Alt2</t>
  </si>
  <si>
    <t>Základem odměny je plat vojína/minimální mzda (20,8 k za 14 dní, 31,6 k za 21 dní, 42,4 k za 28 dní…</t>
  </si>
  <si>
    <t>Neřešíme tedy bonusy za absolvování KZP a hodnosti nabízíme od svobodníka výše</t>
  </si>
  <si>
    <t>Čistý příjem z hrubého</t>
  </si>
  <si>
    <t>Vstupní hodnoty</t>
  </si>
  <si>
    <t>Roční odměna alt2</t>
  </si>
  <si>
    <t>Pozn. I.  Zjednodušení daně</t>
  </si>
  <si>
    <t>Pozn. II. Zjednodušení počet dní v měsíci</t>
  </si>
  <si>
    <t>Pozn. III. Odsloužene/proplacene dny</t>
  </si>
  <si>
    <t>Pozn. IV. Služební a TV hodnocení</t>
  </si>
  <si>
    <t>Pozn. V</t>
  </si>
  <si>
    <t>Pozn VI.</t>
  </si>
  <si>
    <t>Pozn. VII. Alternativní model I</t>
  </si>
  <si>
    <t>Pozn. VIII. Alternativní model II</t>
  </si>
  <si>
    <t>Zdroj dat pro model</t>
  </si>
  <si>
    <t>Model finančního odměňování vojáka AZ</t>
  </si>
  <si>
    <t>Data validní k 25.10.2025</t>
  </si>
  <si>
    <t>Dopad počtu odsloužených dní na odměnu/plat</t>
  </si>
  <si>
    <r>
      <t>Hodnoty (</t>
    </r>
    <r>
      <rPr>
        <b/>
        <sz val="14"/>
        <color rgb="FFFF0000"/>
        <rFont val="Aptos Narrow"/>
        <scheme val="minor"/>
      </rPr>
      <t>klikni a</t>
    </r>
    <r>
      <rPr>
        <b/>
        <sz val="14"/>
        <color rgb="FFFF0000"/>
        <rFont val="Aptos Narrow (Body)"/>
      </rPr>
      <t xml:space="preserve"> vyber</t>
    </r>
    <r>
      <rPr>
        <b/>
        <sz val="14"/>
        <color theme="1"/>
        <rFont val="Aptos Narrow"/>
        <scheme val="minor"/>
      </rPr>
      <t>)</t>
    </r>
  </si>
  <si>
    <t>SluHo</t>
  </si>
  <si>
    <t>TV</t>
  </si>
  <si>
    <t>Roků v AZ</t>
  </si>
  <si>
    <t>Délka kontraktu</t>
  </si>
  <si>
    <t xml:space="preserve">Pozn IX. </t>
  </si>
  <si>
    <t>Model obsahuje položku délka kontraktu, ač je nyní irelevantní</t>
  </si>
  <si>
    <t>Obsah - listy:</t>
  </si>
  <si>
    <t>Vstupní hodnoty pro model</t>
  </si>
  <si>
    <t>Kalkulace roční odměny pro Alt2</t>
  </si>
  <si>
    <t>Vzhledem k výrazně odlišné formě výpočtu alt2 roční odměny provedeno na samostatném listu</t>
  </si>
  <si>
    <t>Kaluklace dodatečných nákladů vycházejících z námi navrhovaných alternativních schomat odměňování</t>
  </si>
  <si>
    <t>Tab: X1: Stanovení alternativní zvýšené odměny vztažené k platu vojína</t>
  </si>
  <si>
    <t>Nová hodnota</t>
  </si>
  <si>
    <r>
      <rPr>
        <b/>
        <sz val="12"/>
        <color theme="1"/>
        <rFont val="Aptos Narrow"/>
        <scheme val="minor"/>
      </rPr>
      <t xml:space="preserve">1)  Roční odměna </t>
    </r>
    <r>
      <rPr>
        <sz val="12"/>
        <color theme="1"/>
        <rFont val="Aptos Narrow"/>
        <family val="2"/>
        <scheme val="minor"/>
      </rPr>
      <t xml:space="preserve">se zde rozpadá na Roční odměnu, odměnu za TV, a odměnu za Sluho. Všechny tyto odměny navazujeme na hrubý plat vojína. 
</t>
    </r>
    <r>
      <rPr>
        <b/>
        <sz val="12"/>
        <color theme="1"/>
        <rFont val="Aptos Narrow"/>
        <scheme val="minor"/>
      </rPr>
      <t>Roční odměna</t>
    </r>
    <r>
      <rPr>
        <sz val="12"/>
        <color theme="1"/>
        <rFont val="Aptos Narrow"/>
        <family val="2"/>
        <scheme val="minor"/>
      </rPr>
      <t xml:space="preserve"> je při dosažení 14 dní polovinou platu vojína, po 21 a 28 dnech naskakuje další čtvrtina platu vojína. 
</t>
    </r>
    <r>
      <rPr>
        <b/>
        <sz val="12"/>
        <color theme="1"/>
        <rFont val="Aptos Narrow"/>
        <scheme val="minor"/>
      </rPr>
      <t>SluHo odměna</t>
    </r>
    <r>
      <rPr>
        <sz val="12"/>
        <color theme="1"/>
        <rFont val="Aptos Narrow"/>
        <family val="2"/>
        <scheme val="minor"/>
      </rPr>
      <t xml:space="preserve"> činí 1 % resp. 0,5 % hrubého platu vojína pro nejlepší a druhé nejlepší hodnocení (jinak 0). 
</t>
    </r>
    <r>
      <rPr>
        <b/>
        <sz val="12"/>
        <color theme="1"/>
        <rFont val="Aptos Narrow"/>
        <scheme val="minor"/>
      </rPr>
      <t>V případě TV</t>
    </r>
    <r>
      <rPr>
        <sz val="12"/>
        <color theme="1"/>
        <rFont val="Aptos Narrow"/>
        <family val="2"/>
        <scheme val="minor"/>
      </rPr>
      <t xml:space="preserve"> jde analogicky o 10 % a 5 %. (nevyhovující Sluho/TV automaticky ruší možnost i druhé odměny). 
</t>
    </r>
    <r>
      <rPr>
        <b/>
        <sz val="12"/>
        <color theme="1"/>
        <rFont val="Aptos Narrow"/>
        <scheme val="minor"/>
      </rPr>
      <t>Alt. Zvýšená odměna</t>
    </r>
    <r>
      <rPr>
        <sz val="12"/>
        <color theme="1"/>
        <rFont val="Aptos Narrow"/>
        <family val="2"/>
        <scheme val="minor"/>
      </rPr>
      <t xml:space="preserve"> je opět navázána na plat vojína (viz tabulka vpravo). Základní hodnota ~ 1 % platu vojína</t>
    </r>
    <r>
      <rPr>
        <sz val="12"/>
        <color theme="1"/>
        <rFont val="Aptos Narrow"/>
        <scheme val="minor"/>
      </rPr>
      <t>, následně růst o zhruba 0,25 % platu vojína (viz tab X1)</t>
    </r>
  </si>
  <si>
    <t>Let v AZ</t>
  </si>
  <si>
    <t>&gt;2</t>
  </si>
  <si>
    <t>&gt;4</t>
  </si>
  <si>
    <t>&gt;7</t>
  </si>
  <si>
    <t>&gt;10</t>
  </si>
  <si>
    <t>&gt;13</t>
  </si>
  <si>
    <t>Nedaněné položky: náborový/stabilizační příspěvek, roční odměna. Pozn. Od 2026 se v některých (sic!) případech stabilizační příspěvky daní.</t>
  </si>
  <si>
    <t>Čtyři interkativní modely (dva odpovídající současnému nastavení a dva alternativní)</t>
  </si>
  <si>
    <t>Necháváme tuto proměnnou, pokud by si čtenář chtěl namodelovat situaci, kdy by náborový a stabilizační příspěvěk byl progresivně vyšší s rostoucí délkou závazku</t>
  </si>
  <si>
    <r>
      <t xml:space="preserve">Příloha k článku: </t>
    </r>
    <r>
      <rPr>
        <sz val="12"/>
        <color theme="1"/>
        <rFont val="Aptos Narrow"/>
        <scheme val="minor"/>
      </rPr>
      <t>Kofroň, J. Mattauch J. (2026): Odměňování Aktivních záloh: motivuje současný systém k častému cvičení?</t>
    </r>
    <r>
      <rPr>
        <i/>
        <sz val="12"/>
        <color theme="1"/>
        <rFont val="Aptos Narrow"/>
        <scheme val="minor"/>
      </rPr>
      <t xml:space="preserve"> Vojenské rozhledy 35 (1), 
DOI: 10.3849/2336-2995.35.2026.01.101-117 </t>
    </r>
  </si>
  <si>
    <t>vč. dvou grafů ("odměna na den" + "odměna za rok celkem")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</si>
</sst>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#,##0.000"/>
  </numFmts>
  <fonts count="25" x14ac:knownFonts="1">
    <font>
      <sz val="12"/>
      <color theme="1"/>
      <name val="Aptos Narrow"/>
      <family val="2"/>
      <scheme val="minor"/>
    </font>
    <font>
      <sz val="12"/>
      <color theme="1" tint="0.14999847407452621"/>
      <name val="Aptos Narrow"/>
      <family val="2"/>
      <scheme val="minor"/>
    </font>
    <font>
      <sz val="15"/>
      <color rgb="FF202122"/>
      <name val="Arial"/>
      <family val="2"/>
    </font>
    <font>
      <sz val="12"/>
      <color rgb="FF202122"/>
      <name val="Arial"/>
      <family val="2"/>
    </font>
    <font>
      <b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i/>
      <sz val="12"/>
      <color theme="1"/>
      <name val="Aptos Narrow"/>
      <scheme val="minor"/>
    </font>
    <font>
      <b/>
      <sz val="12"/>
      <color rgb="FFFF0000"/>
      <name val="Aptos Narrow"/>
      <scheme val="minor"/>
    </font>
    <font>
      <b/>
      <sz val="14"/>
      <color theme="1"/>
      <name val="Aptos Narrow"/>
      <scheme val="minor"/>
    </font>
    <font>
      <b/>
      <sz val="14"/>
      <color rgb="FFFF0000"/>
      <name val="Aptos Narrow (Body)"/>
    </font>
    <font>
      <b/>
      <sz val="14"/>
      <color theme="1"/>
      <name val="Aptos Narrow (Body)"/>
    </font>
    <font>
      <sz val="14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scheme val="minor"/>
    </font>
    <font>
      <sz val="11"/>
      <color rgb="FF000000"/>
      <name val="Helvetica"/>
      <family val="2"/>
    </font>
    <font>
      <sz val="11"/>
      <color rgb="FF276FB1"/>
      <name val="Helvetica"/>
      <family val="2"/>
    </font>
    <font>
      <sz val="14"/>
      <color rgb="FF888887"/>
      <name val="Helvetica"/>
      <family val="2"/>
    </font>
    <font>
      <sz val="8"/>
      <name val="Aptos Narrow"/>
      <family val="2"/>
      <scheme val="minor"/>
    </font>
    <font>
      <sz val="12"/>
      <color theme="9" tint="-0.499984740745262"/>
      <name val="Aptos Narrow"/>
      <family val="2"/>
      <scheme val="minor"/>
    </font>
    <font>
      <sz val="12"/>
      <color rgb="FF002060"/>
      <name val="Aptos Narrow"/>
      <family val="2"/>
      <scheme val="minor"/>
    </font>
    <font>
      <b/>
      <sz val="12"/>
      <color rgb="FFC00000"/>
      <name val="Aptos Narrow"/>
      <scheme val="minor"/>
    </font>
    <font>
      <b/>
      <sz val="14"/>
      <color rgb="FFFF0000"/>
      <name val="Aptos Narrow"/>
      <scheme val="minor"/>
    </font>
    <font>
      <b/>
      <i/>
      <sz val="12"/>
      <color theme="1" tint="0.14999847407452621"/>
      <name val="Aptos Narrow"/>
      <scheme val="minor"/>
    </font>
    <font>
      <i/>
      <sz val="12"/>
      <color theme="1" tint="0.14999847407452621"/>
      <name val="Aptos Narrow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9B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2" fontId="0" fillId="0" borderId="0" xfId="0" applyNumberFormat="1"/>
    <xf numFmtId="0" fontId="0" fillId="0" borderId="0" xfId="0" applyAlignment="1">
      <alignment wrapText="1"/>
    </xf>
    <xf numFmtId="0" fontId="4" fillId="7" borderId="2" xfId="0" applyFont="1" applyFill="1" applyBorder="1"/>
    <xf numFmtId="0" fontId="4" fillId="7" borderId="4" xfId="0" applyFont="1" applyFill="1" applyBorder="1"/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0" borderId="1" xfId="0" applyFont="1" applyBorder="1" applyAlignment="1">
      <alignment wrapText="1"/>
    </xf>
    <xf numFmtId="0" fontId="1" fillId="3" borderId="13" xfId="0" applyFont="1" applyFill="1" applyBorder="1" applyAlignment="1">
      <alignment horizontal="center"/>
    </xf>
    <xf numFmtId="2" fontId="0" fillId="0" borderId="13" xfId="0" applyNumberFormat="1" applyBorder="1"/>
    <xf numFmtId="0" fontId="0" fillId="0" borderId="13" xfId="0" applyBorder="1"/>
    <xf numFmtId="0" fontId="0" fillId="4" borderId="14" xfId="0" applyFill="1" applyBorder="1" applyAlignment="1">
      <alignment horizontal="center"/>
    </xf>
    <xf numFmtId="2" fontId="0" fillId="0" borderId="14" xfId="0" applyNumberFormat="1" applyBorder="1"/>
    <xf numFmtId="0" fontId="0" fillId="0" borderId="14" xfId="0" applyBorder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0" fillId="0" borderId="14" xfId="0" applyBorder="1" applyAlignment="1">
      <alignment wrapText="1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6" fontId="0" fillId="0" borderId="0" xfId="0" applyNumberFormat="1"/>
    <xf numFmtId="166" fontId="0" fillId="0" borderId="13" xfId="0" applyNumberFormat="1" applyBorder="1"/>
    <xf numFmtId="165" fontId="0" fillId="0" borderId="0" xfId="0" applyNumberFormat="1" applyAlignment="1">
      <alignment horizontal="right"/>
    </xf>
    <xf numFmtId="165" fontId="0" fillId="0" borderId="13" xfId="0" applyNumberFormat="1" applyBorder="1" applyAlignment="1">
      <alignment horizontal="right"/>
    </xf>
    <xf numFmtId="167" fontId="0" fillId="0" borderId="13" xfId="0" applyNumberFormat="1" applyBorder="1"/>
    <xf numFmtId="0" fontId="0" fillId="0" borderId="25" xfId="0" applyBorder="1"/>
    <xf numFmtId="0" fontId="0" fillId="0" borderId="27" xfId="0" applyBorder="1"/>
    <xf numFmtId="0" fontId="0" fillId="9" borderId="0" xfId="0" applyFill="1"/>
    <xf numFmtId="0" fontId="4" fillId="10" borderId="24" xfId="0" applyFont="1" applyFill="1" applyBorder="1"/>
    <xf numFmtId="0" fontId="4" fillId="10" borderId="26" xfId="0" applyFont="1" applyFill="1" applyBorder="1"/>
    <xf numFmtId="0" fontId="4" fillId="10" borderId="22" xfId="0" applyFont="1" applyFill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15" xfId="0" applyFont="1" applyBorder="1"/>
    <xf numFmtId="0" fontId="4" fillId="5" borderId="13" xfId="0" applyFont="1" applyFill="1" applyBorder="1"/>
    <xf numFmtId="0" fontId="0" fillId="5" borderId="13" xfId="0" applyFill="1" applyBorder="1"/>
    <xf numFmtId="0" fontId="0" fillId="5" borderId="13" xfId="0" applyFill="1" applyBorder="1" applyAlignment="1">
      <alignment wrapText="1"/>
    </xf>
    <xf numFmtId="0" fontId="4" fillId="10" borderId="0" xfId="0" applyFont="1" applyFill="1"/>
    <xf numFmtId="0" fontId="0" fillId="10" borderId="0" xfId="0" applyFill="1" applyAlignment="1">
      <alignment wrapText="1"/>
    </xf>
    <xf numFmtId="0" fontId="4" fillId="10" borderId="19" xfId="0" applyFont="1" applyFill="1" applyBorder="1"/>
    <xf numFmtId="0" fontId="0" fillId="10" borderId="19" xfId="0" applyFill="1" applyBorder="1" applyAlignment="1">
      <alignment wrapText="1"/>
    </xf>
    <xf numFmtId="165" fontId="4" fillId="0" borderId="0" xfId="0" applyNumberFormat="1" applyFont="1" applyAlignment="1">
      <alignment horizontal="right"/>
    </xf>
    <xf numFmtId="0" fontId="4" fillId="12" borderId="16" xfId="0" applyFont="1" applyFill="1" applyBorder="1" applyAlignment="1">
      <alignment wrapText="1"/>
    </xf>
    <xf numFmtId="0" fontId="4" fillId="12" borderId="17" xfId="0" applyFont="1" applyFill="1" applyBorder="1" applyAlignment="1">
      <alignment wrapText="1"/>
    </xf>
    <xf numFmtId="0" fontId="4" fillId="12" borderId="18" xfId="0" applyFont="1" applyFill="1" applyBorder="1" applyAlignment="1">
      <alignment wrapText="1"/>
    </xf>
    <xf numFmtId="0" fontId="4" fillId="12" borderId="6" xfId="0" applyFont="1" applyFill="1" applyBorder="1"/>
    <xf numFmtId="0" fontId="0" fillId="12" borderId="9" xfId="0" applyFill="1" applyBorder="1"/>
    <xf numFmtId="0" fontId="0" fillId="12" borderId="9" xfId="0" applyFill="1" applyBorder="1" applyAlignment="1">
      <alignment horizontal="right"/>
    </xf>
    <xf numFmtId="3" fontId="0" fillId="12" borderId="9" xfId="0" applyNumberFormat="1" applyFill="1" applyBorder="1"/>
    <xf numFmtId="165" fontId="0" fillId="12" borderId="9" xfId="0" applyNumberFormat="1" applyFill="1" applyBorder="1" applyAlignment="1">
      <alignment horizontal="center"/>
    </xf>
    <xf numFmtId="165" fontId="0" fillId="12" borderId="7" xfId="0" applyNumberFormat="1" applyFill="1" applyBorder="1" applyAlignment="1">
      <alignment horizontal="center"/>
    </xf>
    <xf numFmtId="0" fontId="4" fillId="0" borderId="8" xfId="0" applyFont="1" applyBorder="1"/>
    <xf numFmtId="0" fontId="6" fillId="0" borderId="0" xfId="0" applyFont="1" applyAlignment="1">
      <alignment wrapText="1"/>
    </xf>
    <xf numFmtId="0" fontId="0" fillId="0" borderId="11" xfId="0" applyBorder="1" applyAlignment="1">
      <alignment wrapText="1"/>
    </xf>
    <xf numFmtId="0" fontId="0" fillId="8" borderId="15" xfId="0" applyFill="1" applyBorder="1"/>
    <xf numFmtId="0" fontId="4" fillId="0" borderId="6" xfId="0" applyFont="1" applyBorder="1" applyAlignment="1">
      <alignment wrapText="1"/>
    </xf>
    <xf numFmtId="0" fontId="4" fillId="0" borderId="9" xfId="0" applyFont="1" applyBorder="1" applyAlignment="1">
      <alignment wrapText="1"/>
    </xf>
    <xf numFmtId="2" fontId="4" fillId="0" borderId="9" xfId="0" applyNumberFormat="1" applyFont="1" applyBorder="1" applyAlignment="1">
      <alignment wrapText="1"/>
    </xf>
    <xf numFmtId="2" fontId="4" fillId="0" borderId="7" xfId="0" applyNumberFormat="1" applyFont="1" applyBorder="1" applyAlignment="1">
      <alignment wrapText="1"/>
    </xf>
    <xf numFmtId="0" fontId="12" fillId="12" borderId="0" xfId="0" applyFont="1" applyFill="1"/>
    <xf numFmtId="0" fontId="4" fillId="6" borderId="0" xfId="0" applyFont="1" applyFill="1"/>
    <xf numFmtId="0" fontId="4" fillId="13" borderId="1" xfId="0" applyFont="1" applyFill="1" applyBorder="1"/>
    <xf numFmtId="0" fontId="4" fillId="0" borderId="32" xfId="0" applyFont="1" applyBorder="1"/>
    <xf numFmtId="0" fontId="4" fillId="0" borderId="34" xfId="0" applyFont="1" applyBorder="1"/>
    <xf numFmtId="0" fontId="6" fillId="0" borderId="35" xfId="0" applyFont="1" applyBorder="1" applyAlignment="1">
      <alignment wrapText="1"/>
    </xf>
    <xf numFmtId="0" fontId="0" fillId="0" borderId="36" xfId="0" applyBorder="1" applyAlignment="1">
      <alignment wrapText="1"/>
    </xf>
    <xf numFmtId="0" fontId="4" fillId="0" borderId="37" xfId="0" applyFont="1" applyBorder="1"/>
    <xf numFmtId="0" fontId="6" fillId="0" borderId="38" xfId="0" applyFont="1" applyBorder="1" applyAlignment="1">
      <alignment wrapText="1"/>
    </xf>
    <xf numFmtId="0" fontId="0" fillId="0" borderId="39" xfId="0" applyBorder="1" applyAlignment="1">
      <alignment wrapText="1"/>
    </xf>
    <xf numFmtId="0" fontId="4" fillId="0" borderId="19" xfId="0" applyFont="1" applyBorder="1" applyAlignment="1">
      <alignment vertical="center"/>
    </xf>
    <xf numFmtId="0" fontId="5" fillId="0" borderId="19" xfId="1" applyBorder="1" applyAlignment="1">
      <alignment wrapText="1"/>
    </xf>
    <xf numFmtId="49" fontId="0" fillId="0" borderId="0" xfId="0" applyNumberFormat="1"/>
    <xf numFmtId="49" fontId="15" fillId="0" borderId="0" xfId="0" applyNumberFormat="1" applyFont="1"/>
    <xf numFmtId="49" fontId="17" fillId="0" borderId="0" xfId="0" applyNumberFormat="1" applyFont="1"/>
    <xf numFmtId="2" fontId="16" fillId="0" borderId="0" xfId="0" applyNumberFormat="1" applyFont="1"/>
    <xf numFmtId="0" fontId="0" fillId="0" borderId="1" xfId="0" applyBorder="1" applyAlignment="1">
      <alignment wrapText="1"/>
    </xf>
    <xf numFmtId="49" fontId="19" fillId="0" borderId="21" xfId="0" applyNumberFormat="1" applyFont="1" applyBorder="1"/>
    <xf numFmtId="2" fontId="0" fillId="0" borderId="21" xfId="0" applyNumberFormat="1" applyBorder="1" applyAlignment="1">
      <alignment horizontal="center"/>
    </xf>
    <xf numFmtId="2" fontId="0" fillId="0" borderId="21" xfId="0" applyNumberFormat="1" applyBorder="1"/>
    <xf numFmtId="49" fontId="19" fillId="0" borderId="0" xfId="0" applyNumberFormat="1" applyFont="1"/>
    <xf numFmtId="2" fontId="0" fillId="0" borderId="0" xfId="0" applyNumberFormat="1" applyAlignment="1">
      <alignment horizontal="center"/>
    </xf>
    <xf numFmtId="49" fontId="20" fillId="0" borderId="0" xfId="0" applyNumberFormat="1" applyFont="1"/>
    <xf numFmtId="2" fontId="15" fillId="0" borderId="0" xfId="0" applyNumberFormat="1" applyFont="1"/>
    <xf numFmtId="49" fontId="20" fillId="0" borderId="14" xfId="0" applyNumberFormat="1" applyFont="1" applyBorder="1"/>
    <xf numFmtId="0" fontId="0" fillId="0" borderId="14" xfId="0" applyBorder="1" applyAlignment="1">
      <alignment horizontal="center"/>
    </xf>
    <xf numFmtId="2" fontId="15" fillId="0" borderId="14" xfId="0" applyNumberFormat="1" applyFont="1" applyBorder="1"/>
    <xf numFmtId="16" fontId="0" fillId="0" borderId="0" xfId="0" applyNumberFormat="1"/>
    <xf numFmtId="0" fontId="4" fillId="12" borderId="13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167" fontId="0" fillId="0" borderId="0" xfId="0" applyNumberFormat="1"/>
    <xf numFmtId="165" fontId="4" fillId="0" borderId="0" xfId="0" applyNumberFormat="1" applyFont="1" applyAlignment="1">
      <alignment horizontal="center"/>
    </xf>
    <xf numFmtId="0" fontId="0" fillId="8" borderId="40" xfId="0" applyFill="1" applyBorder="1"/>
    <xf numFmtId="0" fontId="0" fillId="8" borderId="41" xfId="0" applyFill="1" applyBorder="1"/>
    <xf numFmtId="0" fontId="0" fillId="8" borderId="42" xfId="0" applyFill="1" applyBorder="1"/>
    <xf numFmtId="0" fontId="7" fillId="8" borderId="3" xfId="0" applyFont="1" applyFill="1" applyBorder="1" applyAlignment="1">
      <alignment horizontal="right"/>
    </xf>
    <xf numFmtId="0" fontId="7" fillId="8" borderId="5" xfId="0" applyFont="1" applyFill="1" applyBorder="1" applyAlignment="1">
      <alignment horizontal="right"/>
    </xf>
    <xf numFmtId="0" fontId="4" fillId="6" borderId="1" xfId="0" applyFont="1" applyFill="1" applyBorder="1" applyAlignment="1">
      <alignment wrapText="1"/>
    </xf>
    <xf numFmtId="0" fontId="4" fillId="6" borderId="14" xfId="0" applyFont="1" applyFill="1" applyBorder="1"/>
    <xf numFmtId="0" fontId="4" fillId="0" borderId="13" xfId="0" applyFont="1" applyBorder="1"/>
    <xf numFmtId="0" fontId="0" fillId="7" borderId="0" xfId="0" applyFill="1"/>
    <xf numFmtId="0" fontId="4" fillId="7" borderId="0" xfId="0" applyFont="1" applyFill="1"/>
    <xf numFmtId="0" fontId="4" fillId="10" borderId="0" xfId="0" applyFont="1" applyFill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4" fillId="0" borderId="19" xfId="0" applyFont="1" applyBorder="1"/>
    <xf numFmtId="0" fontId="0" fillId="6" borderId="0" xfId="0" applyFill="1"/>
    <xf numFmtId="10" fontId="4" fillId="7" borderId="30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23" fillId="11" borderId="8" xfId="0" applyFont="1" applyFill="1" applyBorder="1"/>
    <xf numFmtId="0" fontId="24" fillId="11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6" borderId="12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10" borderId="12" xfId="0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11" borderId="28" xfId="0" applyFont="1" applyFill="1" applyBorder="1" applyAlignment="1">
      <alignment horizontal="center" wrapText="1"/>
    </xf>
    <xf numFmtId="0" fontId="4" fillId="11" borderId="10" xfId="0" applyFont="1" applyFill="1" applyBorder="1" applyAlignment="1">
      <alignment horizontal="center" wrapText="1"/>
    </xf>
    <xf numFmtId="0" fontId="4" fillId="11" borderId="29" xfId="0" applyFont="1" applyFill="1" applyBorder="1" applyAlignment="1">
      <alignment horizont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wrapText="1"/>
    </xf>
    <xf numFmtId="0" fontId="0" fillId="6" borderId="32" xfId="0" applyFill="1" applyBorder="1" applyAlignment="1">
      <alignment horizontal="center" wrapText="1"/>
    </xf>
    <xf numFmtId="0" fontId="0" fillId="6" borderId="33" xfId="0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19" xfId="0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6" borderId="31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21" fillId="0" borderId="31" xfId="0" applyFont="1" applyBorder="1" applyAlignment="1">
      <alignment horizontal="center" wrapText="1"/>
    </xf>
    <xf numFmtId="0" fontId="21" fillId="0" borderId="32" xfId="0" applyFont="1" applyBorder="1" applyAlignment="1">
      <alignment horizontal="center" wrapText="1"/>
    </xf>
    <xf numFmtId="0" fontId="21" fillId="0" borderId="33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wrapText="1"/>
    </xf>
    <xf numFmtId="0" fontId="0" fillId="0" borderId="12" xfId="0" applyBorder="1" applyAlignment="1">
      <alignment wrapText="1"/>
    </xf>
  </cellXfs>
  <cellStyles count="2">
    <cellStyle name="Hyperlink" xfId="1" builtinId="8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B00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Plat/odměna AZ na "odsloužený</a:t>
            </a:r>
            <a:r>
              <a:rPr lang="en-GB" baseline="0"/>
              <a:t> den", dle odcvičených dnů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Model!$B$2</c:f>
              <c:strCache>
                <c:ptCount val="1"/>
                <c:pt idx="0">
                  <c:v>desátník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Model!$D$3:$D$77</c:f>
              <c:numCache>
                <c:formatCode>General</c:formatCode>
                <c:ptCount val="7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</c:numCache>
            </c:numRef>
          </c:xVal>
          <c:yVal>
            <c:numRef>
              <c:f>Model!$L$3:$L$77</c:f>
              <c:numCache>
                <c:formatCode>0.00</c:formatCode>
                <c:ptCount val="75"/>
                <c:pt idx="0">
                  <c:v>3707.8261904761907</c:v>
                </c:pt>
                <c:pt idx="1">
                  <c:v>3489.6443722943718</c:v>
                </c:pt>
                <c:pt idx="2">
                  <c:v>3307.8261904761907</c:v>
                </c:pt>
                <c:pt idx="3">
                  <c:v>3153.9800366300374</c:v>
                </c:pt>
                <c:pt idx="4">
                  <c:v>4307.8261904761912</c:v>
                </c:pt>
                <c:pt idx="5">
                  <c:v>4107.8261904761903</c:v>
                </c:pt>
                <c:pt idx="6">
                  <c:v>3932.8261904761907</c:v>
                </c:pt>
                <c:pt idx="7">
                  <c:v>3778.4144257703078</c:v>
                </c:pt>
                <c:pt idx="8">
                  <c:v>3641.1595238095242</c:v>
                </c:pt>
                <c:pt idx="9">
                  <c:v>3518.352506265664</c:v>
                </c:pt>
                <c:pt idx="10">
                  <c:v>3407.8261904761907</c:v>
                </c:pt>
                <c:pt idx="11">
                  <c:v>3736.3976190476192</c:v>
                </c:pt>
                <c:pt idx="12">
                  <c:v>3626.0080086580083</c:v>
                </c:pt>
                <c:pt idx="13">
                  <c:v>3525.2174948240167</c:v>
                </c:pt>
                <c:pt idx="14">
                  <c:v>3432.8261904761907</c:v>
                </c:pt>
                <c:pt idx="15">
                  <c:v>3347.8261904761907</c:v>
                </c:pt>
                <c:pt idx="16">
                  <c:v>3269.3646520146526</c:v>
                </c:pt>
                <c:pt idx="17">
                  <c:v>3196.7150793650794</c:v>
                </c:pt>
                <c:pt idx="18">
                  <c:v>3129.2547619047623</c:v>
                </c:pt>
                <c:pt idx="19">
                  <c:v>3066.4468801313628</c:v>
                </c:pt>
                <c:pt idx="20">
                  <c:v>3007.8261904761903</c:v>
                </c:pt>
                <c:pt idx="21">
                  <c:v>2952.9874807987712</c:v>
                </c:pt>
                <c:pt idx="22">
                  <c:v>2901.5761904761907</c:v>
                </c:pt>
                <c:pt idx="23">
                  <c:v>2853.2807359307362</c:v>
                </c:pt>
                <c:pt idx="24">
                  <c:v>2807.8261904761903</c:v>
                </c:pt>
                <c:pt idx="25">
                  <c:v>2764.9690476190476</c:v>
                </c:pt>
                <c:pt idx="26">
                  <c:v>2724.4928571428577</c:v>
                </c:pt>
                <c:pt idx="27">
                  <c:v>2686.2045688545691</c:v>
                </c:pt>
                <c:pt idx="28">
                  <c:v>2649.9314536340853</c:v>
                </c:pt>
                <c:pt idx="29">
                  <c:v>2615.5184981684979</c:v>
                </c:pt>
                <c:pt idx="30">
                  <c:v>2582.8261904761903</c:v>
                </c:pt>
                <c:pt idx="31">
                  <c:v>2551.7286295005811</c:v>
                </c:pt>
                <c:pt idx="32">
                  <c:v>2522.1119047619045</c:v>
                </c:pt>
                <c:pt idx="33">
                  <c:v>2493.8727021040972</c:v>
                </c:pt>
                <c:pt idx="34">
                  <c:v>2466.9170995670993</c:v>
                </c:pt>
                <c:pt idx="35">
                  <c:v>2441.1595238095242</c:v>
                </c:pt>
                <c:pt idx="36">
                  <c:v>2416.5218426501037</c:v>
                </c:pt>
                <c:pt idx="37">
                  <c:v>2392.9325734549138</c:v>
                </c:pt>
                <c:pt idx="38">
                  <c:v>2370.3261904761907</c:v>
                </c:pt>
                <c:pt idx="39">
                  <c:v>2348.6425170068028</c:v>
                </c:pt>
                <c:pt idx="40">
                  <c:v>2327.8261904761907</c:v>
                </c:pt>
                <c:pt idx="41">
                  <c:v>2307.8261904761907</c:v>
                </c:pt>
                <c:pt idx="42">
                  <c:v>2288.5954212454217</c:v>
                </c:pt>
                <c:pt idx="43">
                  <c:v>2270.0903414195868</c:v>
                </c:pt>
                <c:pt idx="44">
                  <c:v>2252.2706349206351</c:v>
                </c:pt>
                <c:pt idx="45">
                  <c:v>2235.0989177489178</c:v>
                </c:pt>
                <c:pt idx="46">
                  <c:v>2218.5404761904765</c:v>
                </c:pt>
                <c:pt idx="47">
                  <c:v>2202.5630325814536</c:v>
                </c:pt>
                <c:pt idx="48">
                  <c:v>2187.1365353037768</c:v>
                </c:pt>
                <c:pt idx="49">
                  <c:v>2172.2329701372073</c:v>
                </c:pt>
                <c:pt idx="50">
                  <c:v>2157.8261904761903</c:v>
                </c:pt>
                <c:pt idx="51">
                  <c:v>2143.8917642466822</c:v>
                </c:pt>
                <c:pt idx="52">
                  <c:v>2130.406835637481</c:v>
                </c:pt>
                <c:pt idx="53">
                  <c:v>2117.35</c:v>
                </c:pt>
                <c:pt idx="54">
                  <c:v>2104.7011904761907</c:v>
                </c:pt>
                <c:pt idx="55">
                  <c:v>2092.441575091575</c:v>
                </c:pt>
                <c:pt idx="56">
                  <c:v>2080.5534632034628</c:v>
                </c:pt>
                <c:pt idx="57">
                  <c:v>2069.0202203269369</c:v>
                </c:pt>
                <c:pt idx="58">
                  <c:v>2057.8261904761903</c:v>
                </c:pt>
                <c:pt idx="59">
                  <c:v>2046.9566252587992</c:v>
                </c:pt>
                <c:pt idx="60">
                  <c:v>2036.3976190476192</c:v>
                </c:pt>
                <c:pt idx="61">
                  <c:v>2026.1360496311202</c:v>
                </c:pt>
                <c:pt idx="62">
                  <c:v>2016.1595238095242</c:v>
                </c:pt>
                <c:pt idx="63">
                  <c:v>2006.4563274624916</c:v>
                </c:pt>
                <c:pt idx="64">
                  <c:v>1997.0153796653797</c:v>
                </c:pt>
                <c:pt idx="65">
                  <c:v>1987.82619047619</c:v>
                </c:pt>
                <c:pt idx="66">
                  <c:v>1978.8788220551378</c:v>
                </c:pt>
                <c:pt idx="67">
                  <c:v>1970.1638528138533</c:v>
                </c:pt>
                <c:pt idx="68">
                  <c:v>1961.6723443223439</c:v>
                </c:pt>
                <c:pt idx="69">
                  <c:v>1953.3958107293549</c:v>
                </c:pt>
                <c:pt idx="70">
                  <c:v>1945.3261904761905</c:v>
                </c:pt>
                <c:pt idx="71">
                  <c:v>1937.4558201058201</c:v>
                </c:pt>
                <c:pt idx="72">
                  <c:v>1929.7774099883859</c:v>
                </c:pt>
                <c:pt idx="73">
                  <c:v>1922.2840218014917</c:v>
                </c:pt>
                <c:pt idx="74">
                  <c:v>1914.9690476190476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B9-0640-9F6C-27916C1B9061}"/>
            </c:ext>
          </c:extLst>
        </c:ser>
        <c:ser>
          <c:idx val="1"/>
          <c:order val="1"/>
          <c:tx>
            <c:strRef>
              <c:f>Model!$V$2</c:f>
              <c:strCache>
                <c:ptCount val="1"/>
                <c:pt idx="0">
                  <c:v>rotmistr</c:v>
                </c:pt>
              </c:strCache>
            </c:strRef>
          </c:tx>
          <c:spPr>
            <a:ln w="25400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Model!$X$3:$X$77</c:f>
              <c:numCache>
                <c:formatCode>General</c:formatCode>
                <c:ptCount val="7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</c:numCache>
            </c:numRef>
          </c:xVal>
          <c:yVal>
            <c:numRef>
              <c:f>Model!$AF$3:$AF$77</c:f>
              <c:numCache>
                <c:formatCode>0.00</c:formatCode>
                <c:ptCount val="75"/>
                <c:pt idx="0">
                  <c:v>4112.1833333333334</c:v>
                </c:pt>
                <c:pt idx="1">
                  <c:v>3894.0015151515149</c:v>
                </c:pt>
                <c:pt idx="2">
                  <c:v>3712.1833333333338</c:v>
                </c:pt>
                <c:pt idx="3">
                  <c:v>3558.33717948718</c:v>
                </c:pt>
                <c:pt idx="4">
                  <c:v>4712.1833333333334</c:v>
                </c:pt>
                <c:pt idx="5">
                  <c:v>4512.1833333333334</c:v>
                </c:pt>
                <c:pt idx="6">
                  <c:v>4337.1833333333334</c:v>
                </c:pt>
                <c:pt idx="7">
                  <c:v>4182.7715686274505</c:v>
                </c:pt>
                <c:pt idx="8">
                  <c:v>4045.5166666666669</c:v>
                </c:pt>
                <c:pt idx="9">
                  <c:v>3922.7096491228071</c:v>
                </c:pt>
                <c:pt idx="10">
                  <c:v>3812.1833333333334</c:v>
                </c:pt>
                <c:pt idx="11">
                  <c:v>4140.7547619047618</c:v>
                </c:pt>
                <c:pt idx="12">
                  <c:v>4030.365151515151</c:v>
                </c:pt>
                <c:pt idx="13">
                  <c:v>3929.5746376811599</c:v>
                </c:pt>
                <c:pt idx="14">
                  <c:v>3837.1833333333338</c:v>
                </c:pt>
                <c:pt idx="15">
                  <c:v>3752.1833333333338</c:v>
                </c:pt>
                <c:pt idx="16">
                  <c:v>3673.7217948717953</c:v>
                </c:pt>
                <c:pt idx="17">
                  <c:v>3601.0722222222216</c:v>
                </c:pt>
                <c:pt idx="18">
                  <c:v>3533.6119047619045</c:v>
                </c:pt>
                <c:pt idx="19">
                  <c:v>3470.8040229885055</c:v>
                </c:pt>
                <c:pt idx="20">
                  <c:v>3412.1833333333334</c:v>
                </c:pt>
                <c:pt idx="21">
                  <c:v>3357.3446236559139</c:v>
                </c:pt>
                <c:pt idx="22">
                  <c:v>3305.9333333333329</c:v>
                </c:pt>
                <c:pt idx="23">
                  <c:v>3257.6378787878793</c:v>
                </c:pt>
                <c:pt idx="24">
                  <c:v>3212.1833333333329</c:v>
                </c:pt>
                <c:pt idx="25">
                  <c:v>3169.3261904761907</c:v>
                </c:pt>
                <c:pt idx="26">
                  <c:v>3128.85</c:v>
                </c:pt>
                <c:pt idx="27">
                  <c:v>3090.5617117117117</c:v>
                </c:pt>
                <c:pt idx="28">
                  <c:v>3054.2885964912284</c:v>
                </c:pt>
                <c:pt idx="29">
                  <c:v>3019.8756410256415</c:v>
                </c:pt>
                <c:pt idx="30">
                  <c:v>2987.1833333333334</c:v>
                </c:pt>
                <c:pt idx="31">
                  <c:v>2956.0857723577233</c:v>
                </c:pt>
                <c:pt idx="32">
                  <c:v>2926.4690476190472</c:v>
                </c:pt>
                <c:pt idx="33">
                  <c:v>2898.2298449612408</c:v>
                </c:pt>
                <c:pt idx="34">
                  <c:v>2871.2742424242424</c:v>
                </c:pt>
                <c:pt idx="35">
                  <c:v>2845.5166666666669</c:v>
                </c:pt>
                <c:pt idx="36">
                  <c:v>2820.8789855072459</c:v>
                </c:pt>
                <c:pt idx="37">
                  <c:v>2797.289716312057</c:v>
                </c:pt>
                <c:pt idx="38">
                  <c:v>2774.6833333333329</c:v>
                </c:pt>
                <c:pt idx="39">
                  <c:v>2752.9996598639455</c:v>
                </c:pt>
                <c:pt idx="40">
                  <c:v>2732.1833333333338</c:v>
                </c:pt>
                <c:pt idx="41">
                  <c:v>2712.1833333333334</c:v>
                </c:pt>
                <c:pt idx="42">
                  <c:v>2692.9525641025643</c:v>
                </c:pt>
                <c:pt idx="43">
                  <c:v>2674.4474842767295</c:v>
                </c:pt>
                <c:pt idx="44">
                  <c:v>2656.6277777777773</c:v>
                </c:pt>
                <c:pt idx="45">
                  <c:v>2639.4560606060604</c:v>
                </c:pt>
                <c:pt idx="46">
                  <c:v>2622.8976190476192</c:v>
                </c:pt>
                <c:pt idx="47">
                  <c:v>2606.9201754385963</c:v>
                </c:pt>
                <c:pt idx="48">
                  <c:v>2591.4936781609194</c:v>
                </c:pt>
                <c:pt idx="49">
                  <c:v>2576.59011299435</c:v>
                </c:pt>
                <c:pt idx="50">
                  <c:v>2562.1833333333334</c:v>
                </c:pt>
                <c:pt idx="51">
                  <c:v>2548.2489071038253</c:v>
                </c:pt>
                <c:pt idx="52">
                  <c:v>2534.7639784946236</c:v>
                </c:pt>
                <c:pt idx="53">
                  <c:v>2521.707142857143</c:v>
                </c:pt>
                <c:pt idx="54">
                  <c:v>2509.0583333333329</c:v>
                </c:pt>
                <c:pt idx="55">
                  <c:v>2496.7987179487181</c:v>
                </c:pt>
                <c:pt idx="56">
                  <c:v>2484.9106060606064</c:v>
                </c:pt>
                <c:pt idx="57">
                  <c:v>2473.37736318408</c:v>
                </c:pt>
                <c:pt idx="58">
                  <c:v>2462.1833333333329</c:v>
                </c:pt>
                <c:pt idx="59">
                  <c:v>2451.3137681159419</c:v>
                </c:pt>
                <c:pt idx="60">
                  <c:v>2440.7547619047618</c:v>
                </c:pt>
                <c:pt idx="61">
                  <c:v>2430.493192488263</c:v>
                </c:pt>
                <c:pt idx="62">
                  <c:v>2420.5166666666664</c:v>
                </c:pt>
                <c:pt idx="63">
                  <c:v>2410.8134703196347</c:v>
                </c:pt>
                <c:pt idx="64">
                  <c:v>2401.3725225225221</c:v>
                </c:pt>
                <c:pt idx="65">
                  <c:v>2392.1833333333334</c:v>
                </c:pt>
                <c:pt idx="66">
                  <c:v>2383.2359649122809</c:v>
                </c:pt>
                <c:pt idx="67">
                  <c:v>2374.5209956709955</c:v>
                </c:pt>
                <c:pt idx="68">
                  <c:v>2366.0294871794872</c:v>
                </c:pt>
                <c:pt idx="69">
                  <c:v>2357.7529535864978</c:v>
                </c:pt>
                <c:pt idx="70">
                  <c:v>2349.6833333333334</c:v>
                </c:pt>
                <c:pt idx="71">
                  <c:v>2341.812962962963</c:v>
                </c:pt>
                <c:pt idx="72">
                  <c:v>2334.1345528455286</c:v>
                </c:pt>
                <c:pt idx="73">
                  <c:v>2326.6411646586348</c:v>
                </c:pt>
                <c:pt idx="74">
                  <c:v>2319.3261904761903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32-8148-AB87-5E98C6C03BB7}"/>
            </c:ext>
          </c:extLst>
        </c:ser>
        <c:ser>
          <c:idx val="2"/>
          <c:order val="2"/>
          <c:tx>
            <c:v>alt 1</c:v>
          </c:tx>
          <c:spPr>
            <a:ln w="2540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Model!$AK$3:$AK$77</c:f>
              <c:numCache>
                <c:formatCode>General</c:formatCode>
                <c:ptCount val="7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</c:numCache>
            </c:numRef>
          </c:xVal>
          <c:yVal>
            <c:numRef>
              <c:f>Model!$AS$3:$AS$77</c:f>
              <c:numCache>
                <c:formatCode>0.00</c:formatCode>
                <c:ptCount val="75"/>
                <c:pt idx="0">
                  <c:v>4112.1833333333334</c:v>
                </c:pt>
                <c:pt idx="1">
                  <c:v>3894.0015151515149</c:v>
                </c:pt>
                <c:pt idx="2">
                  <c:v>3712.1833333333338</c:v>
                </c:pt>
                <c:pt idx="3">
                  <c:v>3558.33717948718</c:v>
                </c:pt>
                <c:pt idx="4">
                  <c:v>4912.1833333333334</c:v>
                </c:pt>
                <c:pt idx="5">
                  <c:v>4698.8500000000004</c:v>
                </c:pt>
                <c:pt idx="6">
                  <c:v>4512.1833333333334</c:v>
                </c:pt>
                <c:pt idx="7">
                  <c:v>4347.477450980391</c:v>
                </c:pt>
                <c:pt idx="8">
                  <c:v>4201.0722222222221</c:v>
                </c:pt>
                <c:pt idx="9">
                  <c:v>4070.0780701754388</c:v>
                </c:pt>
                <c:pt idx="10">
                  <c:v>3952.1833333333334</c:v>
                </c:pt>
                <c:pt idx="11">
                  <c:v>4449.7071428571426</c:v>
                </c:pt>
                <c:pt idx="12">
                  <c:v>4334.7287878787874</c:v>
                </c:pt>
                <c:pt idx="13">
                  <c:v>4229.7485507246383</c:v>
                </c:pt>
                <c:pt idx="14">
                  <c:v>4133.5166666666673</c:v>
                </c:pt>
                <c:pt idx="15">
                  <c:v>4044.9833333333336</c:v>
                </c:pt>
                <c:pt idx="16">
                  <c:v>3963.2602564102567</c:v>
                </c:pt>
                <c:pt idx="17">
                  <c:v>3887.5907407407399</c:v>
                </c:pt>
                <c:pt idx="18">
                  <c:v>4188.7547619047618</c:v>
                </c:pt>
                <c:pt idx="19">
                  <c:v>4110.5281609195399</c:v>
                </c:pt>
                <c:pt idx="20">
                  <c:v>4037.5166666666669</c:v>
                </c:pt>
                <c:pt idx="21">
                  <c:v>3969.2155913978495</c:v>
                </c:pt>
                <c:pt idx="22">
                  <c:v>3905.1833333333329</c:v>
                </c:pt>
                <c:pt idx="23">
                  <c:v>3845.0318181818188</c:v>
                </c:pt>
                <c:pt idx="24">
                  <c:v>3788.4186274509802</c:v>
                </c:pt>
                <c:pt idx="25">
                  <c:v>3735.0404761904765</c:v>
                </c:pt>
                <c:pt idx="26">
                  <c:v>3684.6277777777777</c:v>
                </c:pt>
                <c:pt idx="27">
                  <c:v>3636.9400900900901</c:v>
                </c:pt>
                <c:pt idx="28">
                  <c:v>3591.7622807017547</c:v>
                </c:pt>
                <c:pt idx="29">
                  <c:v>3548.9012820512821</c:v>
                </c:pt>
                <c:pt idx="30">
                  <c:v>3508.1833333333334</c:v>
                </c:pt>
                <c:pt idx="31">
                  <c:v>3469.45162601626</c:v>
                </c:pt>
                <c:pt idx="32">
                  <c:v>3432.5642857142852</c:v>
                </c:pt>
                <c:pt idx="33">
                  <c:v>3397.3926356589145</c:v>
                </c:pt>
                <c:pt idx="34">
                  <c:v>3363.8196969696965</c:v>
                </c:pt>
                <c:pt idx="35">
                  <c:v>3331.7388888888891</c:v>
                </c:pt>
                <c:pt idx="36">
                  <c:v>3301.0528985507249</c:v>
                </c:pt>
                <c:pt idx="37">
                  <c:v>3271.6726950354609</c:v>
                </c:pt>
                <c:pt idx="38">
                  <c:v>3243.5166666666669</c:v>
                </c:pt>
                <c:pt idx="39">
                  <c:v>3216.5098639455782</c:v>
                </c:pt>
                <c:pt idx="40">
                  <c:v>3190.5833333333339</c:v>
                </c:pt>
                <c:pt idx="41">
                  <c:v>3165.6735294117648</c:v>
                </c:pt>
                <c:pt idx="42">
                  <c:v>3141.7217948717953</c:v>
                </c:pt>
                <c:pt idx="43">
                  <c:v>3118.6738993710692</c:v>
                </c:pt>
                <c:pt idx="44">
                  <c:v>3096.479629629629</c:v>
                </c:pt>
                <c:pt idx="45">
                  <c:v>3075.0924242424239</c:v>
                </c:pt>
                <c:pt idx="46">
                  <c:v>3054.4690476190476</c:v>
                </c:pt>
                <c:pt idx="47">
                  <c:v>3034.5692982456139</c:v>
                </c:pt>
                <c:pt idx="48">
                  <c:v>3015.3557471264367</c:v>
                </c:pt>
                <c:pt idx="49">
                  <c:v>2996.7935028248585</c:v>
                </c:pt>
                <c:pt idx="50">
                  <c:v>2978.85</c:v>
                </c:pt>
                <c:pt idx="51">
                  <c:v>2961.4948087431699</c:v>
                </c:pt>
                <c:pt idx="52">
                  <c:v>2944.6994623655914</c:v>
                </c:pt>
                <c:pt idx="53">
                  <c:v>2928.437301587302</c:v>
                </c:pt>
                <c:pt idx="54">
                  <c:v>2912.6833333333329</c:v>
                </c:pt>
                <c:pt idx="55">
                  <c:v>2897.4141025641029</c:v>
                </c:pt>
                <c:pt idx="56">
                  <c:v>2882.6075757575763</c:v>
                </c:pt>
                <c:pt idx="57">
                  <c:v>2868.2430348258708</c:v>
                </c:pt>
                <c:pt idx="58">
                  <c:v>2854.3009803921564</c:v>
                </c:pt>
                <c:pt idx="59">
                  <c:v>2840.7630434782609</c:v>
                </c:pt>
                <c:pt idx="60">
                  <c:v>2827.611904761905</c:v>
                </c:pt>
                <c:pt idx="61">
                  <c:v>2814.8312206572768</c:v>
                </c:pt>
                <c:pt idx="62">
                  <c:v>2802.4055555555551</c:v>
                </c:pt>
                <c:pt idx="63">
                  <c:v>2790.3203196347031</c:v>
                </c:pt>
                <c:pt idx="64">
                  <c:v>2778.5617117117117</c:v>
                </c:pt>
                <c:pt idx="65">
                  <c:v>2767.1166666666668</c:v>
                </c:pt>
                <c:pt idx="66">
                  <c:v>2755.9728070175443</c:v>
                </c:pt>
                <c:pt idx="67">
                  <c:v>2745.1183982683983</c:v>
                </c:pt>
                <c:pt idx="68">
                  <c:v>2734.542307692308</c:v>
                </c:pt>
                <c:pt idx="69">
                  <c:v>2724.2339662447257</c:v>
                </c:pt>
                <c:pt idx="70">
                  <c:v>2714.1833333333334</c:v>
                </c:pt>
                <c:pt idx="71">
                  <c:v>2704.3808641975311</c:v>
                </c:pt>
                <c:pt idx="72">
                  <c:v>2694.8174796747967</c:v>
                </c:pt>
                <c:pt idx="73">
                  <c:v>2685.4845381526111</c:v>
                </c:pt>
                <c:pt idx="74">
                  <c:v>2676.3738095238091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26-FF46-9C65-04D6BC004E97}"/>
            </c:ext>
          </c:extLst>
        </c:ser>
        <c:ser>
          <c:idx val="3"/>
          <c:order val="3"/>
          <c:tx>
            <c:v>alt 2</c:v>
          </c:tx>
          <c:spPr>
            <a:ln w="25400" cap="rnd">
              <a:solidFill>
                <a:schemeClr val="tx1">
                  <a:lumMod val="95000"/>
                  <a:lumOff val="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Model!$AK$3:$AK$77</c:f>
              <c:numCache>
                <c:formatCode>General</c:formatCode>
                <c:ptCount val="7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</c:numCache>
            </c:numRef>
          </c:xVal>
          <c:yVal>
            <c:numRef>
              <c:f>Model!$BF$3:$BF$77</c:f>
              <c:numCache>
                <c:formatCode>0.00</c:formatCode>
                <c:ptCount val="75"/>
                <c:pt idx="0">
                  <c:v>3827.6761904761906</c:v>
                </c:pt>
                <c:pt idx="1">
                  <c:v>3609.4943722943717</c:v>
                </c:pt>
                <c:pt idx="2">
                  <c:v>3427.6761904761911</c:v>
                </c:pt>
                <c:pt idx="3">
                  <c:v>3273.8300366300368</c:v>
                </c:pt>
                <c:pt idx="4">
                  <c:v>3835.2952380952379</c:v>
                </c:pt>
                <c:pt idx="5">
                  <c:v>3767.2317460317458</c:v>
                </c:pt>
                <c:pt idx="6">
                  <c:v>3707.6761904761906</c:v>
                </c:pt>
                <c:pt idx="7">
                  <c:v>3655.1271708683475</c:v>
                </c:pt>
                <c:pt idx="8">
                  <c:v>3608.4169312169311</c:v>
                </c:pt>
                <c:pt idx="9">
                  <c:v>3566.6235588972431</c:v>
                </c:pt>
                <c:pt idx="10">
                  <c:v>3529.0095238095237</c:v>
                </c:pt>
                <c:pt idx="11">
                  <c:v>3603.9301587301588</c:v>
                </c:pt>
                <c:pt idx="12">
                  <c:v>3577.4943722943717</c:v>
                </c:pt>
                <c:pt idx="13">
                  <c:v>3553.3573498964806</c:v>
                </c:pt>
                <c:pt idx="14">
                  <c:v>3531.2317460317463</c:v>
                </c:pt>
                <c:pt idx="15">
                  <c:v>3510.8761904761905</c:v>
                </c:pt>
                <c:pt idx="16">
                  <c:v>3492.0864468864474</c:v>
                </c:pt>
                <c:pt idx="17">
                  <c:v>3474.6885361552027</c:v>
                </c:pt>
                <c:pt idx="18">
                  <c:v>3458.5333333333338</c:v>
                </c:pt>
                <c:pt idx="19">
                  <c:v>3443.4922824302134</c:v>
                </c:pt>
                <c:pt idx="20">
                  <c:v>3429.4539682539685</c:v>
                </c:pt>
                <c:pt idx="21">
                  <c:v>3416.3213517665131</c:v>
                </c:pt>
                <c:pt idx="22">
                  <c:v>3404.0095238095237</c:v>
                </c:pt>
                <c:pt idx="23">
                  <c:v>3392.4438672438673</c:v>
                </c:pt>
                <c:pt idx="24">
                  <c:v>3381.5585434173668</c:v>
                </c:pt>
                <c:pt idx="25">
                  <c:v>3371.2952380952383</c:v>
                </c:pt>
                <c:pt idx="26">
                  <c:v>3361.6021164021167</c:v>
                </c:pt>
                <c:pt idx="27">
                  <c:v>3352.4329472329473</c:v>
                </c:pt>
                <c:pt idx="28">
                  <c:v>3343.7463659147875</c:v>
                </c:pt>
                <c:pt idx="29">
                  <c:v>3335.5052503052502</c:v>
                </c:pt>
                <c:pt idx="30">
                  <c:v>3327.6761904761906</c:v>
                </c:pt>
                <c:pt idx="31">
                  <c:v>3320.2290360046459</c:v>
                </c:pt>
                <c:pt idx="32">
                  <c:v>3313.1365079365082</c:v>
                </c:pt>
                <c:pt idx="33">
                  <c:v>3306.3738648947951</c:v>
                </c:pt>
                <c:pt idx="34">
                  <c:v>3299.9186147186147</c:v>
                </c:pt>
                <c:pt idx="35">
                  <c:v>3293.750264550265</c:v>
                </c:pt>
                <c:pt idx="36">
                  <c:v>3287.8501035196691</c:v>
                </c:pt>
                <c:pt idx="37">
                  <c:v>3282.2010131712254</c:v>
                </c:pt>
                <c:pt idx="38">
                  <c:v>3276.7873015873015</c:v>
                </c:pt>
                <c:pt idx="39">
                  <c:v>3271.5945578231294</c:v>
                </c:pt>
                <c:pt idx="40">
                  <c:v>3266.609523809524</c:v>
                </c:pt>
                <c:pt idx="41">
                  <c:v>3261.8199813258639</c:v>
                </c:pt>
                <c:pt idx="42">
                  <c:v>3257.2146520146521</c:v>
                </c:pt>
                <c:pt idx="43">
                  <c:v>3252.7831087151844</c:v>
                </c:pt>
                <c:pt idx="44">
                  <c:v>3248.5156966490299</c:v>
                </c:pt>
                <c:pt idx="45">
                  <c:v>3244.4034632034632</c:v>
                </c:pt>
                <c:pt idx="46">
                  <c:v>3240.4380952380952</c:v>
                </c:pt>
                <c:pt idx="47">
                  <c:v>3236.6118629908106</c:v>
                </c:pt>
                <c:pt idx="48">
                  <c:v>3232.9175697865353</c:v>
                </c:pt>
                <c:pt idx="49">
                  <c:v>3229.3485068603709</c:v>
                </c:pt>
                <c:pt idx="50">
                  <c:v>3225.8984126984128</c:v>
                </c:pt>
                <c:pt idx="51">
                  <c:v>3222.5614363778304</c:v>
                </c:pt>
                <c:pt idx="52">
                  <c:v>3219.3321044546851</c:v>
                </c:pt>
                <c:pt idx="53">
                  <c:v>3216.2052910052912</c:v>
                </c:pt>
                <c:pt idx="54">
                  <c:v>3213.1761904761906</c:v>
                </c:pt>
                <c:pt idx="55">
                  <c:v>3210.2402930402932</c:v>
                </c:pt>
                <c:pt idx="56">
                  <c:v>3207.393362193362</c:v>
                </c:pt>
                <c:pt idx="57">
                  <c:v>3204.6314143567874</c:v>
                </c:pt>
                <c:pt idx="58">
                  <c:v>3201.9507002801124</c:v>
                </c:pt>
                <c:pt idx="59">
                  <c:v>3199.3476880607313</c:v>
                </c:pt>
                <c:pt idx="60">
                  <c:v>3196.819047619048</c:v>
                </c:pt>
                <c:pt idx="61">
                  <c:v>3194.3616364855802</c:v>
                </c:pt>
                <c:pt idx="62">
                  <c:v>3191.9724867724867</c:v>
                </c:pt>
                <c:pt idx="63">
                  <c:v>3189.6487932159166</c:v>
                </c:pt>
                <c:pt idx="64">
                  <c:v>3187.3879021879015</c:v>
                </c:pt>
                <c:pt idx="65">
                  <c:v>3185.1873015873016</c:v>
                </c:pt>
                <c:pt idx="66">
                  <c:v>3183.0446115288223</c:v>
                </c:pt>
                <c:pt idx="67">
                  <c:v>3180.9575757575753</c:v>
                </c:pt>
                <c:pt idx="68">
                  <c:v>3178.9240537240539</c:v>
                </c:pt>
                <c:pt idx="69">
                  <c:v>3176.9420132610007</c:v>
                </c:pt>
                <c:pt idx="70">
                  <c:v>3175.0095238095237</c:v>
                </c:pt>
                <c:pt idx="71">
                  <c:v>3173.1247501469725</c:v>
                </c:pt>
                <c:pt idx="72">
                  <c:v>3171.2859465737515</c:v>
                </c:pt>
                <c:pt idx="73">
                  <c:v>3169.4914515203668</c:v>
                </c:pt>
                <c:pt idx="74">
                  <c:v>3167.7396825396827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C8-694E-8704-A54E64822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4570303"/>
        <c:axId val="1204567711"/>
      </c:scatterChart>
      <c:valAx>
        <c:axId val="1204570303"/>
        <c:scaling>
          <c:orientation val="minMax"/>
          <c:max val="84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Dní</a:t>
                </a:r>
                <a:r>
                  <a:rPr lang="en-GB" sz="1100" baseline="0"/>
                  <a:t> cvičení</a:t>
                </a:r>
                <a:endParaRPr lang="en-GB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ysClr val="window" lastClr="FFFFFF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1204567711"/>
        <c:crosses val="autoZero"/>
        <c:crossBetween val="midCat"/>
      </c:valAx>
      <c:valAx>
        <c:axId val="1204567711"/>
        <c:scaling>
          <c:orientation val="minMax"/>
          <c:max val="6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Kč/den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12045703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Celkový plat/odměna AZ (za rok), dle odcvičených dnů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Model!$B$2</c:f>
              <c:strCache>
                <c:ptCount val="1"/>
                <c:pt idx="0">
                  <c:v>desátník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Model!$D$3:$D$75</c:f>
              <c:numCache>
                <c:formatCode>General</c:formatCode>
                <c:ptCount val="7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</c:numCache>
            </c:numRef>
          </c:xVal>
          <c:yVal>
            <c:numRef>
              <c:f>Model!$K$3:$K$75</c:f>
              <c:numCache>
                <c:formatCode>0.00</c:formatCode>
                <c:ptCount val="73"/>
                <c:pt idx="0">
                  <c:v>37078.261904761908</c:v>
                </c:pt>
                <c:pt idx="1">
                  <c:v>38386.08809523809</c:v>
                </c:pt>
                <c:pt idx="2">
                  <c:v>39693.914285714287</c:v>
                </c:pt>
                <c:pt idx="3">
                  <c:v>41001.740476190484</c:v>
                </c:pt>
                <c:pt idx="4">
                  <c:v>60309.566666666673</c:v>
                </c:pt>
                <c:pt idx="5">
                  <c:v>61617.392857142855</c:v>
                </c:pt>
                <c:pt idx="6">
                  <c:v>62925.219047619052</c:v>
                </c:pt>
                <c:pt idx="7">
                  <c:v>64233.045238095234</c:v>
                </c:pt>
                <c:pt idx="8">
                  <c:v>65540.871428571438</c:v>
                </c:pt>
                <c:pt idx="9">
                  <c:v>66848.697619047613</c:v>
                </c:pt>
                <c:pt idx="10">
                  <c:v>68156.523809523816</c:v>
                </c:pt>
                <c:pt idx="11">
                  <c:v>78464.350000000006</c:v>
                </c:pt>
                <c:pt idx="12">
                  <c:v>79772.176190476181</c:v>
                </c:pt>
                <c:pt idx="13">
                  <c:v>81080.002380952385</c:v>
                </c:pt>
                <c:pt idx="14">
                  <c:v>82387.828571428574</c:v>
                </c:pt>
                <c:pt idx="15">
                  <c:v>83695.654761904763</c:v>
                </c:pt>
                <c:pt idx="16">
                  <c:v>85003.480952380967</c:v>
                </c:pt>
                <c:pt idx="17">
                  <c:v>86311.307142857142</c:v>
                </c:pt>
                <c:pt idx="18">
                  <c:v>87619.133333333346</c:v>
                </c:pt>
                <c:pt idx="19">
                  <c:v>88926.959523809521</c:v>
                </c:pt>
                <c:pt idx="20">
                  <c:v>90234.78571428571</c:v>
                </c:pt>
                <c:pt idx="21">
                  <c:v>91542.611904761914</c:v>
                </c:pt>
                <c:pt idx="22">
                  <c:v>92850.438095238103</c:v>
                </c:pt>
                <c:pt idx="23">
                  <c:v>94158.264285714293</c:v>
                </c:pt>
                <c:pt idx="24">
                  <c:v>95466.090476190468</c:v>
                </c:pt>
                <c:pt idx="25">
                  <c:v>96773.916666666672</c:v>
                </c:pt>
                <c:pt idx="26">
                  <c:v>98081.742857142875</c:v>
                </c:pt>
                <c:pt idx="27">
                  <c:v>99389.56904761905</c:v>
                </c:pt>
                <c:pt idx="28">
                  <c:v>100697.39523809524</c:v>
                </c:pt>
                <c:pt idx="29">
                  <c:v>102005.22142857141</c:v>
                </c:pt>
                <c:pt idx="30">
                  <c:v>103313.04761904762</c:v>
                </c:pt>
                <c:pt idx="31">
                  <c:v>104620.87380952382</c:v>
                </c:pt>
                <c:pt idx="32">
                  <c:v>105928.7</c:v>
                </c:pt>
                <c:pt idx="33">
                  <c:v>107236.52619047619</c:v>
                </c:pt>
                <c:pt idx="34">
                  <c:v>108544.35238095238</c:v>
                </c:pt>
                <c:pt idx="35">
                  <c:v>109852.17857142858</c:v>
                </c:pt>
                <c:pt idx="36">
                  <c:v>111160.00476190477</c:v>
                </c:pt>
                <c:pt idx="37">
                  <c:v>112467.83095238094</c:v>
                </c:pt>
                <c:pt idx="38">
                  <c:v>113775.65714285715</c:v>
                </c:pt>
                <c:pt idx="39">
                  <c:v>115083.48333333334</c:v>
                </c:pt>
                <c:pt idx="40">
                  <c:v>116391.30952380953</c:v>
                </c:pt>
                <c:pt idx="41">
                  <c:v>117699.13571428572</c:v>
                </c:pt>
                <c:pt idx="42">
                  <c:v>119006.96190476192</c:v>
                </c:pt>
                <c:pt idx="43">
                  <c:v>120314.78809523811</c:v>
                </c:pt>
                <c:pt idx="44">
                  <c:v>121622.61428571428</c:v>
                </c:pt>
                <c:pt idx="45">
                  <c:v>122930.44047619047</c:v>
                </c:pt>
                <c:pt idx="46">
                  <c:v>124238.26666666668</c:v>
                </c:pt>
                <c:pt idx="47">
                  <c:v>125546.09285714285</c:v>
                </c:pt>
                <c:pt idx="48">
                  <c:v>126853.91904761906</c:v>
                </c:pt>
                <c:pt idx="49">
                  <c:v>128161.74523809523</c:v>
                </c:pt>
                <c:pt idx="50">
                  <c:v>129469.57142857142</c:v>
                </c:pt>
                <c:pt idx="51">
                  <c:v>130777.39761904762</c:v>
                </c:pt>
                <c:pt idx="52">
                  <c:v>132085.22380952383</c:v>
                </c:pt>
                <c:pt idx="53">
                  <c:v>133393.04999999999</c:v>
                </c:pt>
                <c:pt idx="54">
                  <c:v>134700.87619047621</c:v>
                </c:pt>
                <c:pt idx="55">
                  <c:v>136008.70238095237</c:v>
                </c:pt>
                <c:pt idx="56">
                  <c:v>137316.52857142856</c:v>
                </c:pt>
                <c:pt idx="57">
                  <c:v>138624.35476190477</c:v>
                </c:pt>
                <c:pt idx="58">
                  <c:v>139932.18095238094</c:v>
                </c:pt>
                <c:pt idx="59">
                  <c:v>141240.00714285715</c:v>
                </c:pt>
                <c:pt idx="60">
                  <c:v>142547.83333333334</c:v>
                </c:pt>
                <c:pt idx="61">
                  <c:v>143855.65952380953</c:v>
                </c:pt>
                <c:pt idx="62">
                  <c:v>145163.48571428575</c:v>
                </c:pt>
                <c:pt idx="63">
                  <c:v>146471.31190476188</c:v>
                </c:pt>
                <c:pt idx="64">
                  <c:v>147779.1380952381</c:v>
                </c:pt>
                <c:pt idx="65">
                  <c:v>149086.96428571426</c:v>
                </c:pt>
                <c:pt idx="66">
                  <c:v>150394.79047619048</c:v>
                </c:pt>
                <c:pt idx="67">
                  <c:v>151702.6166666667</c:v>
                </c:pt>
                <c:pt idx="68">
                  <c:v>153010.44285714283</c:v>
                </c:pt>
                <c:pt idx="69">
                  <c:v>154318.26904761905</c:v>
                </c:pt>
                <c:pt idx="70">
                  <c:v>155626.09523809524</c:v>
                </c:pt>
                <c:pt idx="71">
                  <c:v>156933.92142857143</c:v>
                </c:pt>
                <c:pt idx="72">
                  <c:v>158241.74761904764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61-0248-A9DF-E4B731FAF88C}"/>
            </c:ext>
          </c:extLst>
        </c:ser>
        <c:ser>
          <c:idx val="1"/>
          <c:order val="1"/>
          <c:tx>
            <c:strRef>
              <c:f>Model!$V$2</c:f>
              <c:strCache>
                <c:ptCount val="1"/>
                <c:pt idx="0">
                  <c:v>rotmistr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Model!$X$3:$X$77</c:f>
              <c:numCache>
                <c:formatCode>General</c:formatCode>
                <c:ptCount val="7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</c:numCache>
            </c:numRef>
          </c:xVal>
          <c:yVal>
            <c:numRef>
              <c:f>Model!$AE$3:$AE$77</c:f>
              <c:numCache>
                <c:formatCode>0.00</c:formatCode>
                <c:ptCount val="75"/>
                <c:pt idx="0">
                  <c:v>41121.833333333336</c:v>
                </c:pt>
                <c:pt idx="1">
                  <c:v>42834.016666666663</c:v>
                </c:pt>
                <c:pt idx="2">
                  <c:v>44546.200000000004</c:v>
                </c:pt>
                <c:pt idx="3">
                  <c:v>46258.383333333339</c:v>
                </c:pt>
                <c:pt idx="4">
                  <c:v>65970.566666666666</c:v>
                </c:pt>
                <c:pt idx="5">
                  <c:v>67682.75</c:v>
                </c:pt>
                <c:pt idx="6">
                  <c:v>69394.933333333334</c:v>
                </c:pt>
                <c:pt idx="7">
                  <c:v>71107.116666666654</c:v>
                </c:pt>
                <c:pt idx="8">
                  <c:v>72819.3</c:v>
                </c:pt>
                <c:pt idx="9">
                  <c:v>74531.483333333337</c:v>
                </c:pt>
                <c:pt idx="10">
                  <c:v>76243.666666666672</c:v>
                </c:pt>
                <c:pt idx="11">
                  <c:v>86955.849999999991</c:v>
                </c:pt>
                <c:pt idx="12">
                  <c:v>88668.033333333326</c:v>
                </c:pt>
                <c:pt idx="13">
                  <c:v>90380.216666666674</c:v>
                </c:pt>
                <c:pt idx="14">
                  <c:v>92092.400000000009</c:v>
                </c:pt>
                <c:pt idx="15">
                  <c:v>93804.583333333343</c:v>
                </c:pt>
                <c:pt idx="16">
                  <c:v>95516.766666666677</c:v>
                </c:pt>
                <c:pt idx="17">
                  <c:v>97228.949999999983</c:v>
                </c:pt>
                <c:pt idx="18">
                  <c:v>98941.133333333331</c:v>
                </c:pt>
                <c:pt idx="19">
                  <c:v>100653.31666666667</c:v>
                </c:pt>
                <c:pt idx="20">
                  <c:v>102365.5</c:v>
                </c:pt>
                <c:pt idx="21">
                  <c:v>104077.68333333333</c:v>
                </c:pt>
                <c:pt idx="22">
                  <c:v>105789.86666666665</c:v>
                </c:pt>
                <c:pt idx="23">
                  <c:v>107502.05000000002</c:v>
                </c:pt>
                <c:pt idx="24">
                  <c:v>109214.23333333332</c:v>
                </c:pt>
                <c:pt idx="25">
                  <c:v>110926.41666666667</c:v>
                </c:pt>
                <c:pt idx="26">
                  <c:v>112638.59999999999</c:v>
                </c:pt>
                <c:pt idx="27">
                  <c:v>114350.78333333333</c:v>
                </c:pt>
                <c:pt idx="28">
                  <c:v>116062.96666666667</c:v>
                </c:pt>
                <c:pt idx="29">
                  <c:v>117775.15000000001</c:v>
                </c:pt>
                <c:pt idx="30">
                  <c:v>119487.33333333334</c:v>
                </c:pt>
                <c:pt idx="31">
                  <c:v>121199.51666666666</c:v>
                </c:pt>
                <c:pt idx="32">
                  <c:v>122911.69999999998</c:v>
                </c:pt>
                <c:pt idx="33">
                  <c:v>124623.88333333335</c:v>
                </c:pt>
                <c:pt idx="34">
                  <c:v>126336.06666666667</c:v>
                </c:pt>
                <c:pt idx="35">
                  <c:v>128048.25</c:v>
                </c:pt>
                <c:pt idx="36">
                  <c:v>129760.43333333332</c:v>
                </c:pt>
                <c:pt idx="37">
                  <c:v>131472.61666666667</c:v>
                </c:pt>
                <c:pt idx="38">
                  <c:v>133184.79999999999</c:v>
                </c:pt>
                <c:pt idx="39">
                  <c:v>134896.98333333334</c:v>
                </c:pt>
                <c:pt idx="40">
                  <c:v>136609.16666666669</c:v>
                </c:pt>
                <c:pt idx="41">
                  <c:v>138321.35</c:v>
                </c:pt>
                <c:pt idx="42">
                  <c:v>140033.53333333335</c:v>
                </c:pt>
                <c:pt idx="43">
                  <c:v>141745.71666666667</c:v>
                </c:pt>
                <c:pt idx="44">
                  <c:v>143457.89999999997</c:v>
                </c:pt>
                <c:pt idx="45">
                  <c:v>145170.08333333331</c:v>
                </c:pt>
                <c:pt idx="46">
                  <c:v>146882.26666666666</c:v>
                </c:pt>
                <c:pt idx="47">
                  <c:v>148594.44999999998</c:v>
                </c:pt>
                <c:pt idx="48">
                  <c:v>150306.63333333333</c:v>
                </c:pt>
                <c:pt idx="49">
                  <c:v>152018.81666666665</c:v>
                </c:pt>
                <c:pt idx="50">
                  <c:v>153731</c:v>
                </c:pt>
                <c:pt idx="51">
                  <c:v>155443.18333333335</c:v>
                </c:pt>
                <c:pt idx="52">
                  <c:v>157155.36666666667</c:v>
                </c:pt>
                <c:pt idx="53">
                  <c:v>158867.55000000002</c:v>
                </c:pt>
                <c:pt idx="54">
                  <c:v>160579.73333333331</c:v>
                </c:pt>
                <c:pt idx="55">
                  <c:v>162291.91666666669</c:v>
                </c:pt>
                <c:pt idx="56">
                  <c:v>164004.10000000003</c:v>
                </c:pt>
                <c:pt idx="57">
                  <c:v>165716.28333333335</c:v>
                </c:pt>
                <c:pt idx="58">
                  <c:v>167428.46666666665</c:v>
                </c:pt>
                <c:pt idx="59">
                  <c:v>169140.65</c:v>
                </c:pt>
                <c:pt idx="60">
                  <c:v>170852.83333333334</c:v>
                </c:pt>
                <c:pt idx="61">
                  <c:v>172565.01666666666</c:v>
                </c:pt>
                <c:pt idx="62">
                  <c:v>174277.19999999998</c:v>
                </c:pt>
                <c:pt idx="63">
                  <c:v>175989.38333333333</c:v>
                </c:pt>
                <c:pt idx="64">
                  <c:v>177701.56666666665</c:v>
                </c:pt>
                <c:pt idx="65">
                  <c:v>179413.75</c:v>
                </c:pt>
                <c:pt idx="66">
                  <c:v>181125.93333333335</c:v>
                </c:pt>
                <c:pt idx="67">
                  <c:v>182838.11666666667</c:v>
                </c:pt>
                <c:pt idx="68">
                  <c:v>184550.30000000002</c:v>
                </c:pt>
                <c:pt idx="69">
                  <c:v>186262.48333333334</c:v>
                </c:pt>
                <c:pt idx="70">
                  <c:v>187974.66666666669</c:v>
                </c:pt>
                <c:pt idx="71">
                  <c:v>189686.85</c:v>
                </c:pt>
                <c:pt idx="72">
                  <c:v>191399.03333333333</c:v>
                </c:pt>
                <c:pt idx="73">
                  <c:v>193111.2166666667</c:v>
                </c:pt>
                <c:pt idx="74">
                  <c:v>194823.39999999997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61-0248-A9DF-E4B731FAF88C}"/>
            </c:ext>
          </c:extLst>
        </c:ser>
        <c:ser>
          <c:idx val="2"/>
          <c:order val="2"/>
          <c:tx>
            <c:v>alt 1</c:v>
          </c:tx>
          <c:spPr>
            <a:ln w="317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Model!$AK$3:$AK$77</c:f>
              <c:numCache>
                <c:formatCode>General</c:formatCode>
                <c:ptCount val="7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</c:numCache>
            </c:numRef>
          </c:xVal>
          <c:yVal>
            <c:numRef>
              <c:f>Model!$AR$3:$AR$77</c:f>
              <c:numCache>
                <c:formatCode>0.00</c:formatCode>
                <c:ptCount val="75"/>
                <c:pt idx="0">
                  <c:v>41121.833333333336</c:v>
                </c:pt>
                <c:pt idx="1">
                  <c:v>42834.016666666663</c:v>
                </c:pt>
                <c:pt idx="2">
                  <c:v>44546.200000000004</c:v>
                </c:pt>
                <c:pt idx="3">
                  <c:v>46258.383333333339</c:v>
                </c:pt>
                <c:pt idx="4">
                  <c:v>68770.566666666666</c:v>
                </c:pt>
                <c:pt idx="5">
                  <c:v>70482.75</c:v>
                </c:pt>
                <c:pt idx="6">
                  <c:v>72194.933333333334</c:v>
                </c:pt>
                <c:pt idx="7">
                  <c:v>73907.116666666654</c:v>
                </c:pt>
                <c:pt idx="8">
                  <c:v>75619.3</c:v>
                </c:pt>
                <c:pt idx="9">
                  <c:v>77331.483333333337</c:v>
                </c:pt>
                <c:pt idx="10">
                  <c:v>79043.666666666672</c:v>
                </c:pt>
                <c:pt idx="11">
                  <c:v>93443.849999999991</c:v>
                </c:pt>
                <c:pt idx="12">
                  <c:v>95364.033333333326</c:v>
                </c:pt>
                <c:pt idx="13">
                  <c:v>97284.216666666674</c:v>
                </c:pt>
                <c:pt idx="14">
                  <c:v>99204.400000000009</c:v>
                </c:pt>
                <c:pt idx="15">
                  <c:v>101124.58333333334</c:v>
                </c:pt>
                <c:pt idx="16">
                  <c:v>103044.76666666668</c:v>
                </c:pt>
                <c:pt idx="17">
                  <c:v>104964.94999999998</c:v>
                </c:pt>
                <c:pt idx="18">
                  <c:v>117285.13333333333</c:v>
                </c:pt>
                <c:pt idx="19">
                  <c:v>119205.31666666667</c:v>
                </c:pt>
                <c:pt idx="20">
                  <c:v>121125.5</c:v>
                </c:pt>
                <c:pt idx="21">
                  <c:v>123045.68333333333</c:v>
                </c:pt>
                <c:pt idx="22">
                  <c:v>124965.86666666665</c:v>
                </c:pt>
                <c:pt idx="23">
                  <c:v>126886.05000000002</c:v>
                </c:pt>
                <c:pt idx="24">
                  <c:v>128806.23333333332</c:v>
                </c:pt>
                <c:pt idx="25">
                  <c:v>130726.41666666667</c:v>
                </c:pt>
                <c:pt idx="26">
                  <c:v>132646.6</c:v>
                </c:pt>
                <c:pt idx="27">
                  <c:v>134566.78333333333</c:v>
                </c:pt>
                <c:pt idx="28">
                  <c:v>136486.96666666667</c:v>
                </c:pt>
                <c:pt idx="29">
                  <c:v>138407.15</c:v>
                </c:pt>
                <c:pt idx="30">
                  <c:v>140327.33333333334</c:v>
                </c:pt>
                <c:pt idx="31">
                  <c:v>142247.51666666666</c:v>
                </c:pt>
                <c:pt idx="32">
                  <c:v>144167.69999999998</c:v>
                </c:pt>
                <c:pt idx="33">
                  <c:v>146087.88333333333</c:v>
                </c:pt>
                <c:pt idx="34">
                  <c:v>148008.06666666665</c:v>
                </c:pt>
                <c:pt idx="35">
                  <c:v>149928.25</c:v>
                </c:pt>
                <c:pt idx="36">
                  <c:v>151848.43333333335</c:v>
                </c:pt>
                <c:pt idx="37">
                  <c:v>153768.61666666667</c:v>
                </c:pt>
                <c:pt idx="38">
                  <c:v>155688.80000000002</c:v>
                </c:pt>
                <c:pt idx="39">
                  <c:v>157608.98333333334</c:v>
                </c:pt>
                <c:pt idx="40">
                  <c:v>159529.16666666669</c:v>
                </c:pt>
                <c:pt idx="41">
                  <c:v>161449.35</c:v>
                </c:pt>
                <c:pt idx="42">
                  <c:v>163369.53333333335</c:v>
                </c:pt>
                <c:pt idx="43">
                  <c:v>165289.71666666667</c:v>
                </c:pt>
                <c:pt idx="44">
                  <c:v>167209.89999999997</c:v>
                </c:pt>
                <c:pt idx="45">
                  <c:v>169130.08333333331</c:v>
                </c:pt>
                <c:pt idx="46">
                  <c:v>171050.26666666666</c:v>
                </c:pt>
                <c:pt idx="47">
                  <c:v>172970.44999999998</c:v>
                </c:pt>
                <c:pt idx="48">
                  <c:v>174890.63333333333</c:v>
                </c:pt>
                <c:pt idx="49">
                  <c:v>176810.81666666665</c:v>
                </c:pt>
                <c:pt idx="50">
                  <c:v>178731</c:v>
                </c:pt>
                <c:pt idx="51">
                  <c:v>180651.18333333335</c:v>
                </c:pt>
                <c:pt idx="52">
                  <c:v>182571.36666666667</c:v>
                </c:pt>
                <c:pt idx="53">
                  <c:v>184491.55000000002</c:v>
                </c:pt>
                <c:pt idx="54">
                  <c:v>186411.73333333331</c:v>
                </c:pt>
                <c:pt idx="55">
                  <c:v>188331.91666666669</c:v>
                </c:pt>
                <c:pt idx="56">
                  <c:v>190252.10000000003</c:v>
                </c:pt>
                <c:pt idx="57">
                  <c:v>192172.28333333335</c:v>
                </c:pt>
                <c:pt idx="58">
                  <c:v>194092.46666666665</c:v>
                </c:pt>
                <c:pt idx="59">
                  <c:v>196012.65</c:v>
                </c:pt>
                <c:pt idx="60">
                  <c:v>197932.83333333334</c:v>
                </c:pt>
                <c:pt idx="61">
                  <c:v>199853.01666666666</c:v>
                </c:pt>
                <c:pt idx="62">
                  <c:v>201773.19999999998</c:v>
                </c:pt>
                <c:pt idx="63">
                  <c:v>203693.38333333333</c:v>
                </c:pt>
                <c:pt idx="64">
                  <c:v>205613.56666666665</c:v>
                </c:pt>
                <c:pt idx="65">
                  <c:v>207533.75</c:v>
                </c:pt>
                <c:pt idx="66">
                  <c:v>209453.93333333335</c:v>
                </c:pt>
                <c:pt idx="67">
                  <c:v>211374.11666666667</c:v>
                </c:pt>
                <c:pt idx="68">
                  <c:v>213294.30000000002</c:v>
                </c:pt>
                <c:pt idx="69">
                  <c:v>215214.48333333334</c:v>
                </c:pt>
                <c:pt idx="70">
                  <c:v>217134.66666666669</c:v>
                </c:pt>
                <c:pt idx="71">
                  <c:v>219054.85</c:v>
                </c:pt>
                <c:pt idx="72">
                  <c:v>220975.03333333333</c:v>
                </c:pt>
                <c:pt idx="73">
                  <c:v>222895.2166666667</c:v>
                </c:pt>
                <c:pt idx="74">
                  <c:v>224815.39999999997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61-0248-A9DF-E4B731FAF88C}"/>
            </c:ext>
          </c:extLst>
        </c:ser>
        <c:ser>
          <c:idx val="3"/>
          <c:order val="3"/>
          <c:tx>
            <c:v>alt 2</c:v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Model!$AK$3:$AK$77</c:f>
              <c:numCache>
                <c:formatCode>General</c:formatCode>
                <c:ptCount val="7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</c:numCache>
            </c:numRef>
          </c:xVal>
          <c:yVal>
            <c:numRef>
              <c:f>Model!$BE$3:$BE$77</c:f>
              <c:numCache>
                <c:formatCode>0.00</c:formatCode>
                <c:ptCount val="75"/>
                <c:pt idx="0">
                  <c:v>38276.761904761908</c:v>
                </c:pt>
                <c:pt idx="1">
                  <c:v>39704.438095238089</c:v>
                </c:pt>
                <c:pt idx="2">
                  <c:v>41132.114285714291</c:v>
                </c:pt>
                <c:pt idx="3">
                  <c:v>42559.790476190479</c:v>
                </c:pt>
                <c:pt idx="4">
                  <c:v>53694.133333333331</c:v>
                </c:pt>
                <c:pt idx="5">
                  <c:v>56508.476190476191</c:v>
                </c:pt>
                <c:pt idx="6">
                  <c:v>59322.81904761905</c:v>
                </c:pt>
                <c:pt idx="7">
                  <c:v>62137.16190476191</c:v>
                </c:pt>
                <c:pt idx="8">
                  <c:v>64951.504761904762</c:v>
                </c:pt>
                <c:pt idx="9">
                  <c:v>67765.847619047621</c:v>
                </c:pt>
                <c:pt idx="10">
                  <c:v>70580.190476190473</c:v>
                </c:pt>
                <c:pt idx="11">
                  <c:v>75682.53333333334</c:v>
                </c:pt>
                <c:pt idx="12">
                  <c:v>78704.876190476178</c:v>
                </c:pt>
                <c:pt idx="13">
                  <c:v>81727.219047619059</c:v>
                </c:pt>
                <c:pt idx="14">
                  <c:v>84749.561904761911</c:v>
                </c:pt>
                <c:pt idx="15">
                  <c:v>87771.904761904763</c:v>
                </c:pt>
                <c:pt idx="16">
                  <c:v>90794.24761904763</c:v>
                </c:pt>
                <c:pt idx="17">
                  <c:v>93816.590476190468</c:v>
                </c:pt>
                <c:pt idx="18">
                  <c:v>96838.933333333349</c:v>
                </c:pt>
                <c:pt idx="19">
                  <c:v>99861.276190476186</c:v>
                </c:pt>
                <c:pt idx="20">
                  <c:v>102883.61904761905</c:v>
                </c:pt>
                <c:pt idx="21">
                  <c:v>105905.96190476191</c:v>
                </c:pt>
                <c:pt idx="22">
                  <c:v>108928.30476190476</c:v>
                </c:pt>
                <c:pt idx="23">
                  <c:v>111950.64761904762</c:v>
                </c:pt>
                <c:pt idx="24">
                  <c:v>114972.99047619048</c:v>
                </c:pt>
                <c:pt idx="25">
                  <c:v>117995.33333333334</c:v>
                </c:pt>
                <c:pt idx="26">
                  <c:v>121017.67619047621</c:v>
                </c:pt>
                <c:pt idx="27">
                  <c:v>124040.01904761905</c:v>
                </c:pt>
                <c:pt idx="28">
                  <c:v>127062.36190476193</c:v>
                </c:pt>
                <c:pt idx="29">
                  <c:v>130084.70476190477</c:v>
                </c:pt>
                <c:pt idx="30">
                  <c:v>133107.04761904763</c:v>
                </c:pt>
                <c:pt idx="31">
                  <c:v>136129.39047619049</c:v>
                </c:pt>
                <c:pt idx="32">
                  <c:v>139151.73333333334</c:v>
                </c:pt>
                <c:pt idx="33">
                  <c:v>142174.07619047619</c:v>
                </c:pt>
                <c:pt idx="34">
                  <c:v>145196.41904761904</c:v>
                </c:pt>
                <c:pt idx="35">
                  <c:v>148218.76190476192</c:v>
                </c:pt>
                <c:pt idx="36">
                  <c:v>151241.10476190477</c:v>
                </c:pt>
                <c:pt idx="37">
                  <c:v>154263.4476190476</c:v>
                </c:pt>
                <c:pt idx="38">
                  <c:v>157285.79047619048</c:v>
                </c:pt>
                <c:pt idx="39">
                  <c:v>160308.13333333333</c:v>
                </c:pt>
                <c:pt idx="40">
                  <c:v>163330.47619047621</c:v>
                </c:pt>
                <c:pt idx="41">
                  <c:v>166352.81904761906</c:v>
                </c:pt>
                <c:pt idx="42">
                  <c:v>169375.16190476192</c:v>
                </c:pt>
                <c:pt idx="43">
                  <c:v>172397.50476190477</c:v>
                </c:pt>
                <c:pt idx="44">
                  <c:v>175419.84761904762</c:v>
                </c:pt>
                <c:pt idx="45">
                  <c:v>178442.19047619047</c:v>
                </c:pt>
                <c:pt idx="46">
                  <c:v>181464.53333333333</c:v>
                </c:pt>
                <c:pt idx="47">
                  <c:v>184486.87619047621</c:v>
                </c:pt>
                <c:pt idx="48">
                  <c:v>187509.21904761906</c:v>
                </c:pt>
                <c:pt idx="49">
                  <c:v>190531.56190476188</c:v>
                </c:pt>
                <c:pt idx="50">
                  <c:v>193553.90476190476</c:v>
                </c:pt>
                <c:pt idx="51">
                  <c:v>196576.24761904764</c:v>
                </c:pt>
                <c:pt idx="52">
                  <c:v>199598.59047619047</c:v>
                </c:pt>
                <c:pt idx="53">
                  <c:v>202620.93333333335</c:v>
                </c:pt>
                <c:pt idx="54">
                  <c:v>205643.2761904762</c:v>
                </c:pt>
                <c:pt idx="55">
                  <c:v>208665.61904761905</c:v>
                </c:pt>
                <c:pt idx="56">
                  <c:v>211687.96190476191</c:v>
                </c:pt>
                <c:pt idx="57">
                  <c:v>214710.30476190476</c:v>
                </c:pt>
                <c:pt idx="58">
                  <c:v>217732.64761904764</c:v>
                </c:pt>
                <c:pt idx="59">
                  <c:v>220754.99047619046</c:v>
                </c:pt>
                <c:pt idx="60">
                  <c:v>223777.33333333334</c:v>
                </c:pt>
                <c:pt idx="61">
                  <c:v>226799.6761904762</c:v>
                </c:pt>
                <c:pt idx="62">
                  <c:v>229822.01904761905</c:v>
                </c:pt>
                <c:pt idx="63">
                  <c:v>232844.3619047619</c:v>
                </c:pt>
                <c:pt idx="64">
                  <c:v>235866.70476190472</c:v>
                </c:pt>
                <c:pt idx="65">
                  <c:v>238889.04761904763</c:v>
                </c:pt>
                <c:pt idx="66">
                  <c:v>241911.39047619049</c:v>
                </c:pt>
                <c:pt idx="67">
                  <c:v>244933.73333333331</c:v>
                </c:pt>
                <c:pt idx="68">
                  <c:v>247956.07619047622</c:v>
                </c:pt>
                <c:pt idx="69">
                  <c:v>250978.41904761904</c:v>
                </c:pt>
                <c:pt idx="70">
                  <c:v>254000.76190476189</c:v>
                </c:pt>
                <c:pt idx="71">
                  <c:v>257023.10476190477</c:v>
                </c:pt>
                <c:pt idx="72">
                  <c:v>260045.44761904763</c:v>
                </c:pt>
                <c:pt idx="73">
                  <c:v>263067.79047619045</c:v>
                </c:pt>
                <c:pt idx="74">
                  <c:v>266090.13333333336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61-0248-A9DF-E4B731FA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4570303"/>
        <c:axId val="1204567711"/>
      </c:scatterChart>
      <c:valAx>
        <c:axId val="1204570303"/>
        <c:scaling>
          <c:orientation val="minMax"/>
          <c:max val="84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Dní</a:t>
                </a:r>
                <a:r>
                  <a:rPr lang="en-GB" sz="1100" baseline="0"/>
                  <a:t> cvičení</a:t>
                </a:r>
                <a:endParaRPr lang="en-GB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ysClr val="window" lastClr="FFFFFF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1204567711"/>
        <c:crosses val="autoZero"/>
        <c:crossBetween val="midCat"/>
      </c:valAx>
      <c:valAx>
        <c:axId val="1204567711"/>
        <c:scaling>
          <c:orientation val="minMax"/>
          <c:max val="28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Kč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12045703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'Roční bonus alt 2'!$D$1</c:f>
              <c:strCache>
                <c:ptCount val="1"/>
                <c:pt idx="0">
                  <c:v>Sum_odměna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'Roční bonus alt 2'!$A$2:$A$76</c:f>
              <c:numCache>
                <c:formatCode>General</c:formatCode>
                <c:ptCount val="7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</c:numCache>
            </c:numRef>
          </c:xVal>
          <c:yVal>
            <c:numRef>
              <c:f>'Roční bonus alt 2'!$D$2:$D$76</c:f>
              <c:numCache>
                <c:formatCode>0.00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9706.6666666666661</c:v>
                </c:pt>
                <c:pt idx="5">
                  <c:v>11093.333333333334</c:v>
                </c:pt>
                <c:pt idx="6">
                  <c:v>12480</c:v>
                </c:pt>
                <c:pt idx="7">
                  <c:v>13866.666666666668</c:v>
                </c:pt>
                <c:pt idx="8">
                  <c:v>15253.333333333334</c:v>
                </c:pt>
                <c:pt idx="9">
                  <c:v>16640</c:v>
                </c:pt>
                <c:pt idx="10">
                  <c:v>18026.666666666664</c:v>
                </c:pt>
                <c:pt idx="11">
                  <c:v>19413.333333333336</c:v>
                </c:pt>
                <c:pt idx="12">
                  <c:v>20800</c:v>
                </c:pt>
                <c:pt idx="13">
                  <c:v>22186.666666666664</c:v>
                </c:pt>
                <c:pt idx="14">
                  <c:v>23573.333333333336</c:v>
                </c:pt>
                <c:pt idx="15">
                  <c:v>24960.000000000004</c:v>
                </c:pt>
                <c:pt idx="16">
                  <c:v>26346.666666666668</c:v>
                </c:pt>
                <c:pt idx="17">
                  <c:v>27733.333333333336</c:v>
                </c:pt>
                <c:pt idx="18">
                  <c:v>29120</c:v>
                </c:pt>
                <c:pt idx="19">
                  <c:v>30506.666666666664</c:v>
                </c:pt>
                <c:pt idx="20">
                  <c:v>31893.333333333336</c:v>
                </c:pt>
                <c:pt idx="21">
                  <c:v>33280</c:v>
                </c:pt>
                <c:pt idx="22">
                  <c:v>34666.666666666672</c:v>
                </c:pt>
                <c:pt idx="23">
                  <c:v>36053.333333333336</c:v>
                </c:pt>
                <c:pt idx="24">
                  <c:v>37440</c:v>
                </c:pt>
                <c:pt idx="25">
                  <c:v>38826.666666666672</c:v>
                </c:pt>
                <c:pt idx="26">
                  <c:v>40213.333333333336</c:v>
                </c:pt>
                <c:pt idx="27">
                  <c:v>41600</c:v>
                </c:pt>
                <c:pt idx="28">
                  <c:v>42986.666666666672</c:v>
                </c:pt>
                <c:pt idx="29">
                  <c:v>44373.333333333336</c:v>
                </c:pt>
                <c:pt idx="30">
                  <c:v>45760</c:v>
                </c:pt>
                <c:pt idx="31">
                  <c:v>47146.666666666672</c:v>
                </c:pt>
                <c:pt idx="32">
                  <c:v>48533.333333333336</c:v>
                </c:pt>
                <c:pt idx="33">
                  <c:v>49920</c:v>
                </c:pt>
                <c:pt idx="34">
                  <c:v>51306.666666666672</c:v>
                </c:pt>
                <c:pt idx="35">
                  <c:v>52693.333333333336</c:v>
                </c:pt>
                <c:pt idx="36">
                  <c:v>54080</c:v>
                </c:pt>
                <c:pt idx="37">
                  <c:v>55466.666666666664</c:v>
                </c:pt>
                <c:pt idx="38">
                  <c:v>56853.333333333336</c:v>
                </c:pt>
                <c:pt idx="39">
                  <c:v>58240</c:v>
                </c:pt>
                <c:pt idx="40">
                  <c:v>59626.666666666672</c:v>
                </c:pt>
                <c:pt idx="41">
                  <c:v>61013.333333333336</c:v>
                </c:pt>
                <c:pt idx="42">
                  <c:v>62400</c:v>
                </c:pt>
                <c:pt idx="43">
                  <c:v>63786.666666666664</c:v>
                </c:pt>
                <c:pt idx="44">
                  <c:v>65173.333333333336</c:v>
                </c:pt>
                <c:pt idx="45">
                  <c:v>66560</c:v>
                </c:pt>
                <c:pt idx="46">
                  <c:v>67946.666666666657</c:v>
                </c:pt>
                <c:pt idx="47">
                  <c:v>69333.333333333343</c:v>
                </c:pt>
                <c:pt idx="48">
                  <c:v>70720</c:v>
                </c:pt>
                <c:pt idx="49">
                  <c:v>72106.666666666672</c:v>
                </c:pt>
                <c:pt idx="50">
                  <c:v>73493.333333333343</c:v>
                </c:pt>
                <c:pt idx="51">
                  <c:v>74880</c:v>
                </c:pt>
                <c:pt idx="52">
                  <c:v>76266.666666666657</c:v>
                </c:pt>
                <c:pt idx="53">
                  <c:v>77653.333333333343</c:v>
                </c:pt>
                <c:pt idx="54">
                  <c:v>79040</c:v>
                </c:pt>
                <c:pt idx="55">
                  <c:v>80426.666666666657</c:v>
                </c:pt>
                <c:pt idx="56">
                  <c:v>81813.333333333343</c:v>
                </c:pt>
                <c:pt idx="57">
                  <c:v>83200</c:v>
                </c:pt>
                <c:pt idx="58">
                  <c:v>84586.666666666672</c:v>
                </c:pt>
                <c:pt idx="59">
                  <c:v>85973.333333333343</c:v>
                </c:pt>
                <c:pt idx="60">
                  <c:v>87360</c:v>
                </c:pt>
                <c:pt idx="61">
                  <c:v>88746.666666666657</c:v>
                </c:pt>
                <c:pt idx="62">
                  <c:v>90133.333333333343</c:v>
                </c:pt>
                <c:pt idx="63">
                  <c:v>91520</c:v>
                </c:pt>
                <c:pt idx="64">
                  <c:v>92906.666666666657</c:v>
                </c:pt>
                <c:pt idx="65">
                  <c:v>94293.333333333343</c:v>
                </c:pt>
                <c:pt idx="66">
                  <c:v>95680</c:v>
                </c:pt>
                <c:pt idx="67">
                  <c:v>97066.666666666657</c:v>
                </c:pt>
                <c:pt idx="68">
                  <c:v>98453.333333333343</c:v>
                </c:pt>
                <c:pt idx="69">
                  <c:v>99840</c:v>
                </c:pt>
                <c:pt idx="70">
                  <c:v>101226.66666666666</c:v>
                </c:pt>
                <c:pt idx="71">
                  <c:v>102613.33333333334</c:v>
                </c:pt>
                <c:pt idx="72">
                  <c:v>104000</c:v>
                </c:pt>
                <c:pt idx="73">
                  <c:v>105386.66666666666</c:v>
                </c:pt>
                <c:pt idx="74">
                  <c:v>106773.33333333334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E1-6247-A3DE-07CEB8E56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864447"/>
        <c:axId val="847060879"/>
      </c:scatterChart>
      <c:valAx>
        <c:axId val="846864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847060879"/>
        <c:crosses val="autoZero"/>
        <c:crossBetween val="midCat"/>
      </c:valAx>
      <c:valAx>
        <c:axId val="84706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8468644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177800</xdr:colOff>
      <xdr:row>7</xdr:row>
      <xdr:rowOff>127000</xdr:rowOff>
    </xdr:from>
    <xdr:to>
      <xdr:col>22</xdr:col>
      <xdr:colOff>228600</xdr:colOff>
      <xdr:row>37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13C671-2DBD-0379-8CA8-019906954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190500</xdr:colOff>
      <xdr:row>39</xdr:row>
      <xdr:rowOff>0</xdr:rowOff>
    </xdr:from>
    <xdr:to>
      <xdr:col>22</xdr:col>
      <xdr:colOff>241300</xdr:colOff>
      <xdr:row>69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741550-5986-6140-B1B5-0F7323A28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9</xdr:row>
      <xdr:rowOff>152400</xdr:rowOff>
    </xdr:from>
    <xdr:to>
      <xdr:col>11</xdr:col>
      <xdr:colOff>63500</xdr:colOff>
      <xdr:row>23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CB56DA-51CA-442C-5B66-F4C5A22FD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U_Conscription_Overview_1" connectionId="1" xr16:uid="{3919429A-DC20-EA4E-AF5B-961BD61D1144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armady.mo.gov.cz/o-armade/uplatneni-v-armade/vojak-v-zaloze/vojak-v-aktivni-zaloze/kolik-si-vydelam-a-dostanu-naborovy-prispeve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3901-F981-0A44-BBFE-A7E03A3937A4}">
  <dimension ref="B1:D19"/>
  <sheetViews>
    <sheetView tabSelected="1" zoomScale="120" zoomScaleNormal="120" workbookViewId="0">
      <selection activeCell="C24" sqref="C24"/>
    </sheetView>
  </sheetViews>
  <sheetFormatPr baseColWidth="10" defaultRowHeight="16" x14ac:dyDescent="0.2"/>
  <cols>
    <col min="1" max="1" width="6.83203125" customWidth="1"/>
    <col min="2" max="2" width="33.6640625" customWidth="1"/>
    <col min="3" max="4" width="50.83203125" customWidth="1"/>
  </cols>
  <sheetData>
    <row r="1" spans="2:4" ht="37" customHeight="1" x14ac:dyDescent="0.2">
      <c r="B1" s="168" t="s">
        <v>154</v>
      </c>
      <c r="C1" s="169"/>
      <c r="D1" s="169"/>
    </row>
    <row r="2" spans="2:4" ht="35" thickBot="1" x14ac:dyDescent="0.25">
      <c r="B2" s="114" t="s">
        <v>127</v>
      </c>
      <c r="C2" s="115" t="s">
        <v>129</v>
      </c>
      <c r="D2" s="115" t="s">
        <v>30</v>
      </c>
    </row>
    <row r="3" spans="2:4" ht="53" thickTop="1" thickBot="1" x14ac:dyDescent="0.25">
      <c r="B3" s="78" t="s">
        <v>126</v>
      </c>
      <c r="C3" s="79" t="s">
        <v>25</v>
      </c>
      <c r="D3" s="111" t="s">
        <v>128</v>
      </c>
    </row>
    <row r="4" spans="2:4" ht="17" thickBot="1" x14ac:dyDescent="0.25">
      <c r="B4" s="71"/>
      <c r="C4" s="6"/>
      <c r="D4" s="6"/>
    </row>
    <row r="5" spans="2:4" ht="52" thickTop="1" x14ac:dyDescent="0.2">
      <c r="B5" s="72" t="s">
        <v>118</v>
      </c>
      <c r="C5" s="73" t="s">
        <v>22</v>
      </c>
      <c r="D5" s="74" t="s">
        <v>151</v>
      </c>
    </row>
    <row r="6" spans="2:4" ht="17" x14ac:dyDescent="0.2">
      <c r="B6" s="60" t="s">
        <v>119</v>
      </c>
      <c r="C6" s="61" t="s">
        <v>23</v>
      </c>
      <c r="D6" s="62"/>
    </row>
    <row r="7" spans="2:4" ht="36" customHeight="1" x14ac:dyDescent="0.2">
      <c r="B7" s="60" t="s">
        <v>120</v>
      </c>
      <c r="C7" s="61" t="s">
        <v>77</v>
      </c>
      <c r="D7" s="62" t="s">
        <v>31</v>
      </c>
    </row>
    <row r="8" spans="2:4" ht="17" x14ac:dyDescent="0.2">
      <c r="B8" s="60" t="s">
        <v>121</v>
      </c>
      <c r="C8" s="61" t="s">
        <v>24</v>
      </c>
      <c r="D8" s="62"/>
    </row>
    <row r="9" spans="2:4" ht="34" x14ac:dyDescent="0.2">
      <c r="B9" s="60" t="s">
        <v>122</v>
      </c>
      <c r="C9" s="61" t="s">
        <v>60</v>
      </c>
      <c r="D9" s="62" t="s">
        <v>61</v>
      </c>
    </row>
    <row r="10" spans="2:4" ht="34" x14ac:dyDescent="0.2">
      <c r="B10" s="60" t="s">
        <v>123</v>
      </c>
      <c r="C10" s="61" t="s">
        <v>78</v>
      </c>
      <c r="D10" s="62" t="s">
        <v>114</v>
      </c>
    </row>
    <row r="11" spans="2:4" ht="36" customHeight="1" x14ac:dyDescent="0.2">
      <c r="B11" s="60" t="s">
        <v>124</v>
      </c>
      <c r="C11" s="61" t="s">
        <v>113</v>
      </c>
      <c r="D11" s="62"/>
    </row>
    <row r="12" spans="2:4" ht="36" customHeight="1" thickBot="1" x14ac:dyDescent="0.25">
      <c r="B12" s="75" t="s">
        <v>125</v>
      </c>
      <c r="C12" s="76" t="s">
        <v>96</v>
      </c>
      <c r="D12" s="77"/>
    </row>
    <row r="13" spans="2:4" ht="52" thickTop="1" x14ac:dyDescent="0.2">
      <c r="B13" s="116" t="s">
        <v>135</v>
      </c>
      <c r="C13" s="117" t="s">
        <v>136</v>
      </c>
      <c r="D13" s="117" t="s">
        <v>153</v>
      </c>
    </row>
    <row r="14" spans="2:4" x14ac:dyDescent="0.2">
      <c r="D14" s="6"/>
    </row>
    <row r="15" spans="2:4" ht="17" thickBot="1" x14ac:dyDescent="0.25">
      <c r="B15" s="43" t="s">
        <v>137</v>
      </c>
      <c r="C15" s="44"/>
      <c r="D15" s="45"/>
    </row>
    <row r="16" spans="2:4" ht="34" x14ac:dyDescent="0.2">
      <c r="B16" s="46" t="s">
        <v>79</v>
      </c>
      <c r="C16" s="47" t="s">
        <v>152</v>
      </c>
      <c r="D16" s="47" t="s">
        <v>155</v>
      </c>
    </row>
    <row r="17" spans="2:4" ht="17" x14ac:dyDescent="0.2">
      <c r="B17" s="46" t="s">
        <v>116</v>
      </c>
      <c r="C17" s="47" t="s">
        <v>138</v>
      </c>
      <c r="D17" s="47"/>
    </row>
    <row r="18" spans="2:4" ht="34" x14ac:dyDescent="0.2">
      <c r="B18" s="46" t="s">
        <v>117</v>
      </c>
      <c r="C18" s="47" t="s">
        <v>139</v>
      </c>
      <c r="D18" s="47" t="s">
        <v>140</v>
      </c>
    </row>
    <row r="19" spans="2:4" ht="35" thickBot="1" x14ac:dyDescent="0.25">
      <c r="B19" s="48" t="s">
        <v>80</v>
      </c>
      <c r="C19" s="49" t="s">
        <v>141</v>
      </c>
      <c r="D19" s="49"/>
    </row>
  </sheetData>
  <mergeCells count="1">
    <mergeCell ref="B1:D1"/>
  </mergeCells>
  <hyperlinks>
    <hyperlink ref="C3" r:id="rId1" xr:uid="{8837986E-B6F8-1E44-B7DE-50B04E032B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430D-E4D7-9B43-BD22-39F68B84759B}">
  <dimension ref="A1:BF77"/>
  <sheetViews>
    <sheetView workbookViewId="0">
      <selection activeCell="M3" sqref="M3"/>
    </sheetView>
  </sheetViews>
  <sheetFormatPr baseColWidth="10" defaultRowHeight="16" x14ac:dyDescent="0.2"/>
  <cols>
    <col min="1" max="2" width="14" customWidth="1"/>
    <col min="3" max="3" width="6.33203125" customWidth="1"/>
    <col min="4" max="4" width="9.33203125" style="9" customWidth="1"/>
    <col min="5" max="10" width="9.33203125" customWidth="1"/>
    <col min="11" max="11" width="9.83203125" customWidth="1"/>
    <col min="12" max="12" width="10.33203125" customWidth="1"/>
    <col min="19" max="19" width="7.5" customWidth="1"/>
    <col min="20" max="20" width="3.1640625" customWidth="1"/>
    <col min="21" max="22" width="12.1640625" customWidth="1"/>
    <col min="23" max="23" width="5.83203125" customWidth="1"/>
    <col min="24" max="32" width="9.83203125" customWidth="1"/>
    <col min="35" max="35" width="11.33203125" customWidth="1"/>
    <col min="36" max="36" width="4.1640625" customWidth="1"/>
    <col min="46" max="46" width="3.5" customWidth="1"/>
    <col min="47" max="48" width="13" customWidth="1"/>
    <col min="49" max="49" width="4" customWidth="1"/>
    <col min="50" max="50" width="10.33203125" bestFit="1" customWidth="1"/>
    <col min="51" max="58" width="9.6640625" customWidth="1"/>
  </cols>
  <sheetData>
    <row r="1" spans="1:58" ht="39" customHeight="1" thickBot="1" x14ac:dyDescent="0.3">
      <c r="A1" s="122" t="s">
        <v>130</v>
      </c>
      <c r="B1" s="123"/>
      <c r="D1" s="124" t="s">
        <v>40</v>
      </c>
      <c r="E1" s="125"/>
      <c r="F1" s="125"/>
      <c r="G1" s="125"/>
      <c r="H1" s="125"/>
      <c r="I1" s="125"/>
      <c r="J1" s="125"/>
      <c r="K1" s="125"/>
      <c r="L1" s="125"/>
      <c r="U1" s="122" t="s">
        <v>130</v>
      </c>
      <c r="V1" s="123"/>
      <c r="X1" s="126" t="s">
        <v>41</v>
      </c>
      <c r="Y1" s="127"/>
      <c r="Z1" s="127"/>
      <c r="AA1" s="127"/>
      <c r="AB1" s="127"/>
      <c r="AC1" s="127"/>
      <c r="AD1" s="127"/>
      <c r="AE1" s="127"/>
      <c r="AF1" s="127"/>
      <c r="AH1" s="122" t="s">
        <v>130</v>
      </c>
      <c r="AI1" s="123"/>
      <c r="AK1" s="3" t="s">
        <v>29</v>
      </c>
      <c r="AL1" s="128" t="s">
        <v>35</v>
      </c>
      <c r="AM1" s="128"/>
      <c r="AN1" s="128"/>
      <c r="AO1" s="128"/>
      <c r="AP1" s="128"/>
      <c r="AQ1" s="128"/>
      <c r="AR1" s="128"/>
      <c r="AS1" s="128"/>
      <c r="AU1" s="122" t="s">
        <v>130</v>
      </c>
      <c r="AV1" s="123"/>
      <c r="AX1" s="69" t="s">
        <v>28</v>
      </c>
      <c r="AY1" s="121" t="s">
        <v>39</v>
      </c>
      <c r="AZ1" s="121"/>
      <c r="BA1" s="121"/>
      <c r="BB1" s="121"/>
      <c r="BC1" s="121"/>
      <c r="BD1" s="121"/>
      <c r="BE1" s="121"/>
      <c r="BF1" s="121"/>
    </row>
    <row r="2" spans="1:58" ht="17" thickBot="1" x14ac:dyDescent="0.25">
      <c r="A2" s="7" t="s">
        <v>3</v>
      </c>
      <c r="B2" s="103" t="s">
        <v>14</v>
      </c>
      <c r="D2" s="10" t="s">
        <v>21</v>
      </c>
      <c r="E2" s="4" t="s">
        <v>0</v>
      </c>
      <c r="F2" s="4" t="s">
        <v>1</v>
      </c>
      <c r="G2" s="4" t="s">
        <v>2</v>
      </c>
      <c r="H2" s="4" t="s">
        <v>26</v>
      </c>
      <c r="I2" s="4" t="s">
        <v>6</v>
      </c>
      <c r="J2" s="4" t="s">
        <v>20</v>
      </c>
      <c r="K2" s="4" t="s">
        <v>27</v>
      </c>
      <c r="L2" s="70" t="s">
        <v>76</v>
      </c>
      <c r="U2" s="7" t="s">
        <v>3</v>
      </c>
      <c r="V2" s="103" t="s">
        <v>11</v>
      </c>
      <c r="X2" s="10" t="s">
        <v>21</v>
      </c>
      <c r="Y2" s="4" t="s">
        <v>0</v>
      </c>
      <c r="Z2" s="4" t="s">
        <v>1</v>
      </c>
      <c r="AA2" s="4" t="s">
        <v>2</v>
      </c>
      <c r="AB2" s="4" t="s">
        <v>26</v>
      </c>
      <c r="AC2" s="4" t="s">
        <v>6</v>
      </c>
      <c r="AD2" s="4" t="s">
        <v>20</v>
      </c>
      <c r="AE2" s="4" t="s">
        <v>27</v>
      </c>
      <c r="AF2" s="70" t="s">
        <v>76</v>
      </c>
      <c r="AH2" s="7" t="s">
        <v>3</v>
      </c>
      <c r="AI2" s="103" t="s">
        <v>11</v>
      </c>
      <c r="AK2" s="10" t="s">
        <v>21</v>
      </c>
      <c r="AL2" s="4" t="s">
        <v>0</v>
      </c>
      <c r="AM2" s="4" t="s">
        <v>1</v>
      </c>
      <c r="AN2" s="4" t="s">
        <v>2</v>
      </c>
      <c r="AO2" s="4" t="s">
        <v>26</v>
      </c>
      <c r="AP2" s="4" t="s">
        <v>6</v>
      </c>
      <c r="AQ2" s="4" t="s">
        <v>20</v>
      </c>
      <c r="AR2" s="4" t="s">
        <v>27</v>
      </c>
      <c r="AS2" s="70" t="s">
        <v>76</v>
      </c>
      <c r="AU2" s="7" t="s">
        <v>3</v>
      </c>
      <c r="AV2" s="103" t="s">
        <v>14</v>
      </c>
      <c r="AX2" s="10" t="s">
        <v>21</v>
      </c>
      <c r="AY2" s="4" t="s">
        <v>0</v>
      </c>
      <c r="AZ2" s="4" t="s">
        <v>1</v>
      </c>
      <c r="BA2" s="4" t="s">
        <v>2</v>
      </c>
      <c r="BB2" s="4" t="s">
        <v>26</v>
      </c>
      <c r="BC2" s="4" t="s">
        <v>6</v>
      </c>
      <c r="BD2" s="4" t="s">
        <v>20</v>
      </c>
      <c r="BE2" s="4" t="s">
        <v>27</v>
      </c>
      <c r="BF2" s="70" t="s">
        <v>76</v>
      </c>
    </row>
    <row r="3" spans="1:58" ht="17" thickTop="1" x14ac:dyDescent="0.2">
      <c r="A3" s="7" t="s">
        <v>131</v>
      </c>
      <c r="B3" s="103">
        <v>1</v>
      </c>
      <c r="D3" s="11">
        <v>10</v>
      </c>
      <c r="E3" s="5">
        <f>INDEX('Vstupní hodnoty'!$A$4:$A$15, MATCH(Model!$B$2,'Vstupní hodnoty'!$B$4:$B$15,0))/30*(D3+1*D3/7)</f>
        <v>13676.190476190477</v>
      </c>
      <c r="F3">
        <f>IF($B$5&lt;2, $B$6/12*30000, 0)/($B$6/12)</f>
        <v>0</v>
      </c>
      <c r="G3">
        <f>IF(F3=0, $B$6*2000/(B$6/12), 0)</f>
        <v>24000</v>
      </c>
      <c r="H3">
        <f>IF(D3&lt;14, 0, IF(AND(D3&gt;20,$B$4&lt;3,$B$3&lt;2), 'Vstupní hodnoty'!K$6, IF(AND(D3&gt;20, $B$4&lt;3, $B$3&lt;4), 'Vstupní hodnoty'!$K$5, 'Vstupní hodnoty'!$K$4)))</f>
        <v>0</v>
      </c>
      <c r="I3">
        <f>IF($B$7=1, 'Vstupní hodnoty'!J$4*(2/3)/30*Model!D3, 0)</f>
        <v>0</v>
      </c>
      <c r="J3">
        <f>IF(Model!$B$5&gt;12,'Vstupní hodnoty'!$H$8*Model!D3,IF(Model!$B$5&gt;9,'Vstupní hodnoty'!$H$7*Model!D3,IF(Model!$B$5&gt;6,'Vstupní hodnoty'!$H$6*Model!D3,IF(Model!$B$5&gt;3,'Vstupní hodnoty'!$H$5*Model!D3,IF(Model!$B$5&gt;1,'Vstupní hodnoty'!$H$4*Model!D3,0)))))</f>
        <v>1710</v>
      </c>
      <c r="K3" s="5">
        <f>F3+G3+H3+E3*'Vstupní hodnoty'!L$4+J3*'Vstupní hodnoty'!L$4+I3*'Vstupní hodnoty'!L$4</f>
        <v>37078.261904761908</v>
      </c>
      <c r="L3" s="5">
        <f>K3/D3</f>
        <v>3707.8261904761907</v>
      </c>
      <c r="U3" s="7" t="s">
        <v>131</v>
      </c>
      <c r="V3" s="103">
        <v>1</v>
      </c>
      <c r="X3" s="11">
        <v>10</v>
      </c>
      <c r="Y3" s="5">
        <f>INDEX('Vstupní hodnoty'!$A$4:$A$15, MATCH(Model!$V$2,'Vstupní hodnoty'!$B$4:$B$15,0))/30*(X3+1*X3/7)</f>
        <v>17573.333333333336</v>
      </c>
      <c r="Z3">
        <f>IF($V$5&lt;3, $V$6/12*30000, 0)/($V$6/12)</f>
        <v>0</v>
      </c>
      <c r="AA3">
        <f>IF(Z3=0, $V$6*2000/(V$6/12), 0)</f>
        <v>24000</v>
      </c>
      <c r="AB3">
        <f>IF(X3&lt;14, 0, IF(AND(X3&gt;20,$V$4&lt;3,$V$3&lt;2), 'Vstupní hodnoty'!$I$6, IF(AND(X3&gt;20, $V$4&lt;4, $V$3&lt;4), 'Vstupní hodnoty'!$I$5, 'Vstupní hodnoty'!$I$4)))</f>
        <v>0</v>
      </c>
      <c r="AC3">
        <f>IF($V$7=1, 'Vstupní hodnoty'!$J$4*(2/3)/30*Model!X3, 0)</f>
        <v>0</v>
      </c>
      <c r="AD3">
        <f>IF(Model!$V$5&gt;12,'Vstupní hodnoty'!$H$8*Model!X3,IF(Model!$V$5&gt;9,'Vstupní hodnoty'!$H$7*Model!X3,IF(Model!$V$5&gt;6,'Vstupní hodnoty'!$H$6*Model!X3,IF(Model!$V$5&gt;3,'Vstupní hodnoty'!$H$5*Model!X3,IF(Model!$V$5&gt;1,'Vstupní hodnoty'!$H$4*Model!X3,0)))))</f>
        <v>2570</v>
      </c>
      <c r="AE3" s="5">
        <f>Z3+AA3+AB3+Y3*'Vstupní hodnoty'!L$4+AD3*'Vstupní hodnoty'!L$4+AC3*'Vstupní hodnoty'!L$4</f>
        <v>41121.833333333336</v>
      </c>
      <c r="AF3" s="5">
        <f>AE3/X3</f>
        <v>4112.1833333333334</v>
      </c>
      <c r="AH3" s="7" t="s">
        <v>131</v>
      </c>
      <c r="AI3" s="103">
        <v>1</v>
      </c>
      <c r="AK3" s="11">
        <v>10</v>
      </c>
      <c r="AL3" s="5">
        <f>INDEX('Vstupní hodnoty'!$A$4:$A$15, MATCH(Model!$AI$2,'Vstupní hodnoty'!$B$4:$B$15,0))/30*(AK3+1*AK3/7)</f>
        <v>17573.333333333336</v>
      </c>
      <c r="AM3">
        <f>IF($AI$5&lt;3, $AI$6/12*30000, 0)/($AI$6/12)</f>
        <v>0</v>
      </c>
      <c r="AN3">
        <f>IF(AM3=0, $AI$6*2000/(AI$6/12), 0)</f>
        <v>24000</v>
      </c>
      <c r="AO3">
        <f>IF(OR(AK3&lt;14, AI$3=4, AI$4=4),0,IF(AK3&lt;21,'Vstupní hodnoty'!N$4,IF(AK3&lt;28,'Vstupní hodnoty'!N$5,IF(AK3&lt;35,'Vstupní hodnoty'!N$6,'Vstupní hodnoty'!N$6))))+IF(OR(AK3&lt;21, AI$4=4),0,IF(AI$3&lt;2,'Vstupní hodnoty'!O$6*'Vstupní hodnoty'!$A$17*(AK3-20),IF(Model!AI$3&lt;3,'Vstupní hodnoty'!O$5*'Vstupní hodnoty'!$A$17*(AK3-20),IF(Model!AI$3&lt;4,'Vstupní hodnoty'!O$4*'Vstupní hodnoty'!$A$17*(AK3-20),0))))+IF(OR(AK3&lt;21, AI$3=4), 0, IF(AI$4=1, 'Vstupní hodnoty'!P$6, IF(Model!AI$4=2, 'Vstupní hodnoty'!P$5, IF(Model!AI$4=3, 'Vstupní hodnoty'!P$4, 0))))</f>
        <v>0</v>
      </c>
      <c r="AP3">
        <f>IF($AI$7=1, 'Vstupní hodnoty'!J$4*(2/3)/30*Model!AK3, 0)</f>
        <v>0</v>
      </c>
      <c r="AQ3">
        <f>IF(Model!$AI$5&gt;12,'Vstupní hodnoty'!$H$8*Model!AK3,IF(Model!$AI$5&gt;9,'Vstupní hodnoty'!$H$7*Model!AK3,IF(Model!$AI$5&gt;6,'Vstupní hodnoty'!$H$6*Model!AK3,IF(Model!$AI$5&gt;3,'Vstupní hodnoty'!$H$5*Model!AK3,IF(Model!$AI$5&gt;1,'Vstupní hodnoty'!$H$4*Model!AK3,0)))))</f>
        <v>2570</v>
      </c>
      <c r="AR3" s="5">
        <f>AM3+AN3+AO3+AL3*'Vstupní hodnoty'!L$4+AQ3*'Vstupní hodnoty'!L$4+AP3*'Vstupní hodnoty'!L$4</f>
        <v>41121.833333333336</v>
      </c>
      <c r="AS3" s="5">
        <f>AR3/AK3</f>
        <v>4112.1833333333334</v>
      </c>
      <c r="AU3" s="7" t="s">
        <v>131</v>
      </c>
      <c r="AV3" s="103">
        <v>1</v>
      </c>
      <c r="AX3" s="11">
        <v>10</v>
      </c>
      <c r="AY3" s="5">
        <f>INDEX('Vstupní hodnoty'!$A$4:$A$15, MATCH(Model!$AV$2,'Vstupní hodnoty'!$B$4:$B$15,0))/30*(AX3+1*AX3/7)</f>
        <v>13676.190476190477</v>
      </c>
      <c r="AZ3">
        <f>IF($AV$5=0, $AV$6/12*30000, 0)/($AV$6/12)</f>
        <v>0</v>
      </c>
      <c r="BA3">
        <f>IF(AZ3=0, $AV$6*2000/(AV$6/12), 0)</f>
        <v>24000</v>
      </c>
      <c r="BB3" s="5">
        <f>'Roční bonus alt 2'!D2+ IF(OR(AX3&lt;21, AV$3=4, AV$4=4),0,IF(AV$3&lt;2,'Vstupní hodnoty'!O$6*'Vstupní hodnoty'!$A$17*(Model!AX3-20),IF(Model!AV$3&lt;3,'Vstupní hodnoty'!O$5*'Vstupní hodnoty'!$A$17*(Model!AX3-20),IF(Model!AV$3&lt;4,'Vstupní hodnoty'!O$4*'Vstupní hodnoty'!$A$17*(Model!AX3-20),0)))) +IF(OR(AX3&lt;21,AV$3=4, AV$4=4), 0, IF(AV$4=1, 'Vstupní hodnoty'!P$6, IF(Model!AV$4=2, 'Vstupní hodnoty'!P$5, IF(Model!AV$4=3, 'Vstupní hodnoty'!P$4, 0))))</f>
        <v>0</v>
      </c>
      <c r="BC3">
        <f>IF($AV$7=1, 'Vstupní hodnoty'!J$4*(2/3)/30*Model!AX3, 0)</f>
        <v>0</v>
      </c>
      <c r="BD3">
        <f>IF(Model!$AV$5&gt;12,'Vstupní hodnoty'!$Q$8*Model!AX3,IF(Model!$AV$5&gt;9,'Vstupní hodnoty'!$Q$7*Model!AX3,IF(Model!$AV$5&gt;6,'Vstupní hodnoty'!$Q$6*Model!AX3,IF(Model!$AV$5&gt;3,'Vstupní hodnoty'!$Q$5*Model!AX3,IF(Model!$AV$5&gt;1,'Vstupní hodnoty'!$Q$4*Model!AX3,0)))))</f>
        <v>3120</v>
      </c>
      <c r="BE3" s="5">
        <f>AZ3+BA3+BB3+AY3*'Vstupní hodnoty'!L$4+BD3*'Vstupní hodnoty'!L$4+BC3*'Vstupní hodnoty'!L$4</f>
        <v>38276.761904761908</v>
      </c>
      <c r="BF3" s="5">
        <f>BE3/AX3</f>
        <v>3827.6761904761906</v>
      </c>
    </row>
    <row r="4" spans="1:58" x14ac:dyDescent="0.2">
      <c r="A4" s="7" t="s">
        <v>132</v>
      </c>
      <c r="B4" s="103">
        <v>1</v>
      </c>
      <c r="D4" s="12">
        <v>11</v>
      </c>
      <c r="E4" s="5">
        <f>INDEX('Vstupní hodnoty'!$A$4:$A$15, MATCH(Model!$B$2,'Vstupní hodnoty'!$B$4:$B$15,0))/30*(D4+1*D4/7)</f>
        <v>15043.809523809525</v>
      </c>
      <c r="F4">
        <f t="shared" ref="F4:F67" si="0">IF($B$5&lt;2, $B$6/12*30000, 0)/($B$6/12)</f>
        <v>0</v>
      </c>
      <c r="G4">
        <f>IF(F4=0, $B$6*2000/(B$6/12), 0)</f>
        <v>24000</v>
      </c>
      <c r="H4">
        <f>IF(D4&lt;14, 0, IF(AND(D4&gt;20,$B$4&lt;3,$B$3&lt;2), 'Vstupní hodnoty'!K$6, IF(AND(D4&gt;20, $B$4&lt;3, $B$3&lt;4), 'Vstupní hodnoty'!$K$5, 'Vstupní hodnoty'!$K$4)))</f>
        <v>0</v>
      </c>
      <c r="I4">
        <f>IF($B$7=1, 'Vstupní hodnoty'!J$4*(2/3)/30*Model!D4, 0)</f>
        <v>0</v>
      </c>
      <c r="J4">
        <f>IF(Model!$B$5&gt;12,'Vstupní hodnoty'!$H$8*Model!D4,IF(Model!$B$5&gt;9,'Vstupní hodnoty'!$H$7*Model!D4,IF(Model!$B$5&gt;6,'Vstupní hodnoty'!$H$6*Model!D4,IF(Model!$B$5&gt;3,'Vstupní hodnoty'!$H$5*Model!D4,IF(Model!$B$5&gt;1,'Vstupní hodnoty'!$H$4*Model!D4,0)))))</f>
        <v>1881</v>
      </c>
      <c r="K4" s="5">
        <f>F4+G4+H4+E4*'Vstupní hodnoty'!L$4+J4*'Vstupní hodnoty'!L$4+I4*'Vstupní hodnoty'!L$4</f>
        <v>38386.08809523809</v>
      </c>
      <c r="L4" s="5">
        <f t="shared" ref="L4:L67" si="1">K4/D4</f>
        <v>3489.6443722943718</v>
      </c>
      <c r="U4" s="7" t="s">
        <v>132</v>
      </c>
      <c r="V4" s="103">
        <v>1</v>
      </c>
      <c r="X4" s="12">
        <v>11</v>
      </c>
      <c r="Y4" s="5">
        <f>INDEX('Vstupní hodnoty'!$A$4:$A$15, MATCH(Model!$V$2,'Vstupní hodnoty'!$B$4:$B$15,0))/30*(X4+1*X4/7)</f>
        <v>19330.666666666668</v>
      </c>
      <c r="Z4">
        <f t="shared" ref="Z4:Z67" si="2">IF($V$5&lt;3, $V$6/12*30000, 0)/($V$6/12)</f>
        <v>0</v>
      </c>
      <c r="AA4">
        <f t="shared" ref="AA4:AA56" si="3">IF(Z4=0, $V$6*2000/(V$6/12), 0)</f>
        <v>24000</v>
      </c>
      <c r="AB4">
        <f>IF(X4&lt;14, 0, IF(AND(X4&gt;20,$V$4&lt;3,$V$3&lt;2), 'Vstupní hodnoty'!$I$6, IF(AND(X4&gt;20, $V$4&lt;4, $V$3&lt;4), 'Vstupní hodnoty'!$I$5, 'Vstupní hodnoty'!$I$4)))</f>
        <v>0</v>
      </c>
      <c r="AC4">
        <f>IF($V$7=1, 'Vstupní hodnoty'!$J$4*(2/3)/30*Model!X4, 0)</f>
        <v>0</v>
      </c>
      <c r="AD4">
        <f>IF(Model!$V$5&gt;12,'Vstupní hodnoty'!$H$8*Model!X4,IF(Model!$V$5&gt;9,'Vstupní hodnoty'!$H$7*Model!X4,IF(Model!$V$5&gt;6,'Vstupní hodnoty'!$H$6*Model!X4,IF(Model!$V$5&gt;3,'Vstupní hodnoty'!$H$5*Model!X4,IF(Model!$V$5&gt;1,'Vstupní hodnoty'!$H$4*Model!X4,0)))))</f>
        <v>2827</v>
      </c>
      <c r="AE4" s="5">
        <f>Z4+AA4+AB4+Y4*'Vstupní hodnoty'!L$4+AD4*'Vstupní hodnoty'!L$4+AC4*'Vstupní hodnoty'!L$4</f>
        <v>42834.016666666663</v>
      </c>
      <c r="AF4" s="5">
        <f t="shared" ref="AF4:AF67" si="4">AE4/X4</f>
        <v>3894.0015151515149</v>
      </c>
      <c r="AH4" s="7" t="s">
        <v>132</v>
      </c>
      <c r="AI4" s="103">
        <v>1</v>
      </c>
      <c r="AK4" s="12">
        <v>11</v>
      </c>
      <c r="AL4" s="5">
        <f>INDEX('Vstupní hodnoty'!$A$4:$A$15, MATCH(Model!$AI$2,'Vstupní hodnoty'!$B$4:$B$15,0))/30*(AK4+1*AK4/7)</f>
        <v>19330.666666666668</v>
      </c>
      <c r="AM4">
        <f t="shared" ref="AM4:AM67" si="5">IF($AI$5&lt;3, $AI$6/12*30000, 0)/($AI$6/12)</f>
        <v>0</v>
      </c>
      <c r="AN4">
        <f t="shared" ref="AN4:AN56" si="6">IF(AM4=0, $AI$6*2000/(AI$6/12), 0)</f>
        <v>24000</v>
      </c>
      <c r="AO4">
        <f>IF(OR(AK4&lt;14, AI$3=4, AI$4=4),0,IF(AK4&lt;21,'Vstupní hodnoty'!N$4,IF(AK4&lt;28,'Vstupní hodnoty'!N$5,IF(AK4&lt;35,'Vstupní hodnoty'!N$6,'Vstupní hodnoty'!N$6))))+IF(OR(AK4&lt;21, AI$4=4),0,IF(AI$3&lt;2,'Vstupní hodnoty'!O$6*'Vstupní hodnoty'!$A$17*(AK4-20),IF(Model!AI$3&lt;3,'Vstupní hodnoty'!O$5*'Vstupní hodnoty'!$A$17*(AK4-20),IF(Model!AI$3&lt;4,'Vstupní hodnoty'!O$4*'Vstupní hodnoty'!$A$17*(AK4-20),0))))+IF(OR(AK4&lt;21, AI$3=4), 0, IF(AI$4=1, 'Vstupní hodnoty'!P$6, IF(Model!AI$4=2, 'Vstupní hodnoty'!P$5, IF(Model!AI$4=3, 'Vstupní hodnoty'!P$4, 0))))</f>
        <v>0</v>
      </c>
      <c r="AP4">
        <f>IF($AI$7=1, 'Vstupní hodnoty'!J$4*(2/3)/30*Model!AK4, 0)</f>
        <v>0</v>
      </c>
      <c r="AQ4">
        <f>IF(Model!$AI$5&gt;12,'Vstupní hodnoty'!$H$8*Model!AK4,IF(Model!$AI$5&gt;9,'Vstupní hodnoty'!$H$7*Model!AK4,IF(Model!$AI$5&gt;6,'Vstupní hodnoty'!$H$6*Model!AK4,IF(Model!$AI$5&gt;3,'Vstupní hodnoty'!$H$5*Model!AK4,IF(Model!$AI$5&gt;1,'Vstupní hodnoty'!$H$4*Model!AK4,0)))))</f>
        <v>2827</v>
      </c>
      <c r="AR4" s="5">
        <f>AM4+AN4+AO4+AL4*'Vstupní hodnoty'!L$4+AQ4*'Vstupní hodnoty'!L$4+AP4*'Vstupní hodnoty'!L$4</f>
        <v>42834.016666666663</v>
      </c>
      <c r="AS4" s="5">
        <f t="shared" ref="AS4:AS67" si="7">AR4/AK4</f>
        <v>3894.0015151515149</v>
      </c>
      <c r="AU4" s="7" t="s">
        <v>132</v>
      </c>
      <c r="AV4" s="103">
        <v>1</v>
      </c>
      <c r="AX4" s="12">
        <v>11</v>
      </c>
      <c r="AY4" s="5">
        <f>INDEX('Vstupní hodnoty'!$A$4:$A$15, MATCH(Model!$AV$2,'Vstupní hodnoty'!$B$4:$B$15,0))/30*(AX4+1*AX4/7)</f>
        <v>15043.809523809525</v>
      </c>
      <c r="AZ4">
        <f t="shared" ref="AZ4:AZ67" si="8">IF($AV$5=0, $AV$6/12*30000, 0)/($AV$6/12)</f>
        <v>0</v>
      </c>
      <c r="BA4">
        <f t="shared" ref="BA4:BA56" si="9">IF(AZ4=0, $AV$6*2000/(AV$6/12), 0)</f>
        <v>24000</v>
      </c>
      <c r="BB4" s="5">
        <f>'Roční bonus alt 2'!D3+ IF(OR(AX4&lt;21, AV$3=4, AV$4=4),0,IF(AV$3&lt;2,'Vstupní hodnoty'!O$6*'Vstupní hodnoty'!$A$17*(Model!AX4-20),IF(Model!AV$3&lt;3,'Vstupní hodnoty'!O$5*'Vstupní hodnoty'!$A$17*(Model!AX4-20),IF(Model!AV$3&lt;4,'Vstupní hodnoty'!O$4*'Vstupní hodnoty'!$A$17*(Model!AX4-20),0)))) +IF(OR(AX4&lt;21,AV$3=4, AV$4=4), 0, IF(AV$4=1, 'Vstupní hodnoty'!P$6, IF(Model!AV$4=2, 'Vstupní hodnoty'!P$5, IF(Model!AV$4=3, 'Vstupní hodnoty'!P$4, 0))))</f>
        <v>0</v>
      </c>
      <c r="BC4">
        <f>IF($AV$7=1, 'Vstupní hodnoty'!J$4*(2/3)/30*Model!AX4, 0)</f>
        <v>0</v>
      </c>
      <c r="BD4">
        <f>IF(Model!$AV$5&gt;12,'Vstupní hodnoty'!$Q$8*Model!AX4,IF(Model!$AV$5&gt;9,'Vstupní hodnoty'!$Q$7*Model!AX4,IF(Model!$AV$5&gt;6,'Vstupní hodnoty'!$Q$6*Model!AX4,IF(Model!$AV$5&gt;3,'Vstupní hodnoty'!$Q$5*Model!AX4,IF(Model!$AV$5&gt;1,'Vstupní hodnoty'!$Q$4*Model!AX4,0)))))</f>
        <v>3432</v>
      </c>
      <c r="BE4" s="5">
        <f>AZ4+BA4+BB4+AY4*'Vstupní hodnoty'!L$4+BD4*'Vstupní hodnoty'!L$4+BC4*'Vstupní hodnoty'!L$4</f>
        <v>39704.438095238089</v>
      </c>
      <c r="BF4" s="5">
        <f t="shared" ref="BF4:BF67" si="10">BE4/AX4</f>
        <v>3609.4943722943717</v>
      </c>
    </row>
    <row r="5" spans="1:58" x14ac:dyDescent="0.2">
      <c r="A5" s="7" t="s">
        <v>133</v>
      </c>
      <c r="B5" s="103">
        <v>2</v>
      </c>
      <c r="D5" s="11">
        <v>12</v>
      </c>
      <c r="E5" s="5">
        <f>INDEX('Vstupní hodnoty'!$A$4:$A$15, MATCH(Model!$B$2,'Vstupní hodnoty'!$B$4:$B$15,0))/30*(D5+1*D5/7)</f>
        <v>16411.428571428572</v>
      </c>
      <c r="F5">
        <f t="shared" si="0"/>
        <v>0</v>
      </c>
      <c r="G5">
        <f t="shared" ref="G5:G56" si="11">IF(F5=0, $B$6*2000/(B$6/12), 0)</f>
        <v>24000</v>
      </c>
      <c r="H5">
        <f>IF(D5&lt;14, 0, IF(AND(D5&gt;20,$B$4&lt;3,$B$3&lt;2), 'Vstupní hodnoty'!K$6, IF(AND(D5&gt;20, $B$4&lt;3, $B$3&lt;4), 'Vstupní hodnoty'!$K$5, 'Vstupní hodnoty'!$K$4)))</f>
        <v>0</v>
      </c>
      <c r="I5">
        <f>IF($B$7=1, 'Vstupní hodnoty'!J$4*(2/3)/30*Model!D5, 0)</f>
        <v>0</v>
      </c>
      <c r="J5">
        <f>IF(Model!$B$5&gt;12,'Vstupní hodnoty'!$H$8*Model!D5,IF(Model!$B$5&gt;9,'Vstupní hodnoty'!$H$7*Model!D5,IF(Model!$B$5&gt;6,'Vstupní hodnoty'!$H$6*Model!D5,IF(Model!$B$5&gt;3,'Vstupní hodnoty'!$H$5*Model!D5,IF(Model!$B$5&gt;1,'Vstupní hodnoty'!$H$4*Model!D5,0)))))</f>
        <v>2052</v>
      </c>
      <c r="K5" s="5">
        <f>F5+G5+H5+E5*'Vstupní hodnoty'!L$4+J5*'Vstupní hodnoty'!L$4+I5*'Vstupní hodnoty'!L$4</f>
        <v>39693.914285714287</v>
      </c>
      <c r="L5" s="5">
        <f t="shared" si="1"/>
        <v>3307.8261904761907</v>
      </c>
      <c r="U5" s="7" t="s">
        <v>133</v>
      </c>
      <c r="V5" s="103">
        <v>8</v>
      </c>
      <c r="X5" s="11">
        <v>12</v>
      </c>
      <c r="Y5" s="5">
        <f>INDEX('Vstupní hodnoty'!$A$4:$A$15, MATCH(Model!$V$2,'Vstupní hodnoty'!$B$4:$B$15,0))/30*(X5+1*X5/7)</f>
        <v>21088</v>
      </c>
      <c r="Z5">
        <f t="shared" si="2"/>
        <v>0</v>
      </c>
      <c r="AA5">
        <f t="shared" si="3"/>
        <v>24000</v>
      </c>
      <c r="AB5">
        <f>IF(X5&lt;14, 0, IF(AND(X5&gt;20,$V$4&lt;3,$V$3&lt;2), 'Vstupní hodnoty'!$I$6, IF(AND(X5&gt;20, $V$4&lt;4, $V$3&lt;4), 'Vstupní hodnoty'!$I$5, 'Vstupní hodnoty'!$I$4)))</f>
        <v>0</v>
      </c>
      <c r="AC5">
        <f>IF($V$7=1, 'Vstupní hodnoty'!$J$4*(2/3)/30*Model!X5, 0)</f>
        <v>0</v>
      </c>
      <c r="AD5">
        <f>IF(Model!$V$5&gt;12,'Vstupní hodnoty'!$H$8*Model!X5,IF(Model!$V$5&gt;9,'Vstupní hodnoty'!$H$7*Model!X5,IF(Model!$V$5&gt;6,'Vstupní hodnoty'!$H$6*Model!X5,IF(Model!$V$5&gt;3,'Vstupní hodnoty'!$H$5*Model!X5,IF(Model!$V$5&gt;1,'Vstupní hodnoty'!$H$4*Model!X5,0)))))</f>
        <v>3084</v>
      </c>
      <c r="AE5" s="5">
        <f>Z5+AA5+AB5+Y5*'Vstupní hodnoty'!L$4+AD5*'Vstupní hodnoty'!L$4+AC5*'Vstupní hodnoty'!L$4</f>
        <v>44546.200000000004</v>
      </c>
      <c r="AF5" s="5">
        <f t="shared" si="4"/>
        <v>3712.1833333333338</v>
      </c>
      <c r="AH5" s="7" t="s">
        <v>133</v>
      </c>
      <c r="AI5" s="103">
        <v>8</v>
      </c>
      <c r="AK5" s="11">
        <v>12</v>
      </c>
      <c r="AL5" s="5">
        <f>INDEX('Vstupní hodnoty'!$A$4:$A$15, MATCH(Model!$AI$2,'Vstupní hodnoty'!$B$4:$B$15,0))/30*(AK5+1*AK5/7)</f>
        <v>21088</v>
      </c>
      <c r="AM5">
        <f t="shared" si="5"/>
        <v>0</v>
      </c>
      <c r="AN5">
        <f t="shared" si="6"/>
        <v>24000</v>
      </c>
      <c r="AO5">
        <f>IF(OR(AK5&lt;14, AI$3=4, AI$4=4),0,IF(AK5&lt;21,'Vstupní hodnoty'!N$4,IF(AK5&lt;28,'Vstupní hodnoty'!N$5,IF(AK5&lt;35,'Vstupní hodnoty'!N$6,'Vstupní hodnoty'!N$6))))+IF(OR(AK5&lt;21, AI$4=4),0,IF(AI$3&lt;2,'Vstupní hodnoty'!O$6*'Vstupní hodnoty'!$A$17*(AK5-20),IF(Model!AI$3&lt;3,'Vstupní hodnoty'!O$5*'Vstupní hodnoty'!$A$17*(AK5-20),IF(Model!AI$3&lt;4,'Vstupní hodnoty'!O$4*'Vstupní hodnoty'!$A$17*(AK5-20),0))))+IF(OR(AK5&lt;21, AI$3=4), 0, IF(AI$4=1, 'Vstupní hodnoty'!P$6, IF(Model!AI$4=2, 'Vstupní hodnoty'!P$5, IF(Model!AI$4=3, 'Vstupní hodnoty'!P$4, 0))))</f>
        <v>0</v>
      </c>
      <c r="AP5">
        <f>IF($AI$7=1, 'Vstupní hodnoty'!J$4*(2/3)/30*Model!AK5, 0)</f>
        <v>0</v>
      </c>
      <c r="AQ5">
        <f>IF(Model!$AI$5&gt;12,'Vstupní hodnoty'!$H$8*Model!AK5,IF(Model!$AI$5&gt;9,'Vstupní hodnoty'!$H$7*Model!AK5,IF(Model!$AI$5&gt;6,'Vstupní hodnoty'!$H$6*Model!AK5,IF(Model!$AI$5&gt;3,'Vstupní hodnoty'!$H$5*Model!AK5,IF(Model!$AI$5&gt;1,'Vstupní hodnoty'!$H$4*Model!AK5,0)))))</f>
        <v>3084</v>
      </c>
      <c r="AR5" s="5">
        <f>AM5+AN5+AO5+AL5*'Vstupní hodnoty'!L$4+AQ5*'Vstupní hodnoty'!L$4+AP5*'Vstupní hodnoty'!L$4</f>
        <v>44546.200000000004</v>
      </c>
      <c r="AS5" s="5">
        <f t="shared" si="7"/>
        <v>3712.1833333333338</v>
      </c>
      <c r="AU5" s="7" t="s">
        <v>133</v>
      </c>
      <c r="AV5" s="103">
        <v>8</v>
      </c>
      <c r="AX5" s="11">
        <v>12</v>
      </c>
      <c r="AY5" s="5">
        <f>INDEX('Vstupní hodnoty'!$A$4:$A$15, MATCH(Model!$AV$2,'Vstupní hodnoty'!$B$4:$B$15,0))/30*(AX5+1*AX5/7)</f>
        <v>16411.428571428572</v>
      </c>
      <c r="AZ5">
        <f t="shared" si="8"/>
        <v>0</v>
      </c>
      <c r="BA5">
        <f t="shared" si="9"/>
        <v>24000</v>
      </c>
      <c r="BB5" s="5">
        <f>'Roční bonus alt 2'!D4+ IF(OR(AX5&lt;21, AV$3=4, AV$4=4),0,IF(AV$3&lt;2,'Vstupní hodnoty'!O$6*'Vstupní hodnoty'!$A$17*(Model!AX5-20),IF(Model!AV$3&lt;3,'Vstupní hodnoty'!O$5*'Vstupní hodnoty'!$A$17*(Model!AX5-20),IF(Model!AV$3&lt;4,'Vstupní hodnoty'!O$4*'Vstupní hodnoty'!$A$17*(Model!AX5-20),0)))) +IF(OR(AX5&lt;21,AV$3=4, AV$4=4), 0, IF(AV$4=1, 'Vstupní hodnoty'!P$6, IF(Model!AV$4=2, 'Vstupní hodnoty'!P$5, IF(Model!AV$4=3, 'Vstupní hodnoty'!P$4, 0))))</f>
        <v>0</v>
      </c>
      <c r="BC5">
        <f>IF($AV$7=1, 'Vstupní hodnoty'!J$4*(2/3)/30*Model!AX5, 0)</f>
        <v>0</v>
      </c>
      <c r="BD5">
        <f>IF(Model!$AV$5&gt;12,'Vstupní hodnoty'!$Q$8*Model!AX5,IF(Model!$AV$5&gt;9,'Vstupní hodnoty'!$Q$7*Model!AX5,IF(Model!$AV$5&gt;6,'Vstupní hodnoty'!$Q$6*Model!AX5,IF(Model!$AV$5&gt;3,'Vstupní hodnoty'!$Q$5*Model!AX5,IF(Model!$AV$5&gt;1,'Vstupní hodnoty'!$Q$4*Model!AX5,0)))))</f>
        <v>3744</v>
      </c>
      <c r="BE5" s="5">
        <f>AZ5+BA5+BB5+AY5*'Vstupní hodnoty'!L$4+BD5*'Vstupní hodnoty'!L$4+BC5*'Vstupní hodnoty'!L$4</f>
        <v>41132.114285714291</v>
      </c>
      <c r="BF5" s="5">
        <f t="shared" si="10"/>
        <v>3427.6761904761911</v>
      </c>
    </row>
    <row r="6" spans="1:58" x14ac:dyDescent="0.2">
      <c r="A6" s="7" t="s">
        <v>134</v>
      </c>
      <c r="B6" s="103">
        <v>36</v>
      </c>
      <c r="D6" s="12">
        <v>13</v>
      </c>
      <c r="E6" s="5">
        <f>INDEX('Vstupní hodnoty'!$A$4:$A$15, MATCH(Model!$B$2,'Vstupní hodnoty'!$B$4:$B$15,0))/30*(D6+1*D6/7)</f>
        <v>17779.047619047622</v>
      </c>
      <c r="F6">
        <f t="shared" si="0"/>
        <v>0</v>
      </c>
      <c r="G6">
        <f t="shared" si="11"/>
        <v>24000</v>
      </c>
      <c r="H6">
        <f>IF(D6&lt;14, 0, IF(AND(D6&gt;20,$B$4&lt;3,$B$3&lt;2), 'Vstupní hodnoty'!K$6, IF(AND(D6&gt;20, $B$4&lt;3, $B$3&lt;4), 'Vstupní hodnoty'!$K$5, 'Vstupní hodnoty'!$K$4)))</f>
        <v>0</v>
      </c>
      <c r="I6">
        <f>IF($B$7=1, 'Vstupní hodnoty'!J$4*(2/3)/30*Model!D6, 0)</f>
        <v>0</v>
      </c>
      <c r="J6">
        <f>IF(Model!$B$5&gt;12,'Vstupní hodnoty'!$H$8*Model!D6,IF(Model!$B$5&gt;9,'Vstupní hodnoty'!$H$7*Model!D6,IF(Model!$B$5&gt;6,'Vstupní hodnoty'!$H$6*Model!D6,IF(Model!$B$5&gt;3,'Vstupní hodnoty'!$H$5*Model!D6,IF(Model!$B$5&gt;1,'Vstupní hodnoty'!$H$4*Model!D6,0)))))</f>
        <v>2223</v>
      </c>
      <c r="K6" s="5">
        <f>F6+G6+H6+E6*'Vstupní hodnoty'!L$4+J6*'Vstupní hodnoty'!L$4+I6*'Vstupní hodnoty'!L$4</f>
        <v>41001.740476190484</v>
      </c>
      <c r="L6" s="5">
        <f t="shared" si="1"/>
        <v>3153.9800366300374</v>
      </c>
      <c r="U6" s="7" t="s">
        <v>134</v>
      </c>
      <c r="V6" s="103">
        <v>36</v>
      </c>
      <c r="X6" s="12">
        <v>13</v>
      </c>
      <c r="Y6" s="5">
        <f>INDEX('Vstupní hodnoty'!$A$4:$A$15, MATCH(Model!$V$2,'Vstupní hodnoty'!$B$4:$B$15,0))/30*(X6+1*X6/7)</f>
        <v>22845.333333333336</v>
      </c>
      <c r="Z6">
        <f t="shared" si="2"/>
        <v>0</v>
      </c>
      <c r="AA6">
        <f t="shared" si="3"/>
        <v>24000</v>
      </c>
      <c r="AB6">
        <f>IF(X6&lt;14, 0, IF(AND(X6&gt;20,$V$4&lt;3,$V$3&lt;2), 'Vstupní hodnoty'!$I$6, IF(AND(X6&gt;20, $V$4&lt;4, $V$3&lt;4), 'Vstupní hodnoty'!$I$5, 'Vstupní hodnoty'!$I$4)))</f>
        <v>0</v>
      </c>
      <c r="AC6">
        <f>IF($V$7=1, 'Vstupní hodnoty'!$J$4*(2/3)/30*Model!X6, 0)</f>
        <v>0</v>
      </c>
      <c r="AD6">
        <f>IF(Model!$V$5&gt;12,'Vstupní hodnoty'!$H$8*Model!X6,IF(Model!$V$5&gt;9,'Vstupní hodnoty'!$H$7*Model!X6,IF(Model!$V$5&gt;6,'Vstupní hodnoty'!$H$6*Model!X6,IF(Model!$V$5&gt;3,'Vstupní hodnoty'!$H$5*Model!X6,IF(Model!$V$5&gt;1,'Vstupní hodnoty'!$H$4*Model!X6,0)))))</f>
        <v>3341</v>
      </c>
      <c r="AE6" s="5">
        <f>Z6+AA6+AB6+Y6*'Vstupní hodnoty'!L$4+AD6*'Vstupní hodnoty'!L$4+AC6*'Vstupní hodnoty'!L$4</f>
        <v>46258.383333333339</v>
      </c>
      <c r="AF6" s="5">
        <f t="shared" si="4"/>
        <v>3558.33717948718</v>
      </c>
      <c r="AH6" s="7" t="s">
        <v>134</v>
      </c>
      <c r="AI6" s="103">
        <v>36</v>
      </c>
      <c r="AK6" s="12">
        <v>13</v>
      </c>
      <c r="AL6" s="5">
        <f>INDEX('Vstupní hodnoty'!$A$4:$A$15, MATCH(Model!$AI$2,'Vstupní hodnoty'!$B$4:$B$15,0))/30*(AK6+1*AK6/7)</f>
        <v>22845.333333333336</v>
      </c>
      <c r="AM6">
        <f t="shared" si="5"/>
        <v>0</v>
      </c>
      <c r="AN6">
        <f t="shared" si="6"/>
        <v>24000</v>
      </c>
      <c r="AO6">
        <f>IF(OR(AK6&lt;14, AI$3=4, AI$4=4),0,IF(AK6&lt;21,'Vstupní hodnoty'!N$4,IF(AK6&lt;28,'Vstupní hodnoty'!N$5,IF(AK6&lt;35,'Vstupní hodnoty'!N$6,'Vstupní hodnoty'!N$6))))+IF(OR(AK6&lt;21, AI$4=4),0,IF(AI$3&lt;2,'Vstupní hodnoty'!O$6*'Vstupní hodnoty'!$A$17*(AK6-20),IF(Model!AI$3&lt;3,'Vstupní hodnoty'!O$5*'Vstupní hodnoty'!$A$17*(AK6-20),IF(Model!AI$3&lt;4,'Vstupní hodnoty'!O$4*'Vstupní hodnoty'!$A$17*(AK6-20),0))))+IF(OR(AK6&lt;21, AI$3=4), 0, IF(AI$4=1, 'Vstupní hodnoty'!P$6, IF(Model!AI$4=2, 'Vstupní hodnoty'!P$5, IF(Model!AI$4=3, 'Vstupní hodnoty'!P$4, 0))))</f>
        <v>0</v>
      </c>
      <c r="AP6">
        <f>IF($AI$7=1, 'Vstupní hodnoty'!J$4*(2/3)/30*Model!AK6, 0)</f>
        <v>0</v>
      </c>
      <c r="AQ6">
        <f>IF(Model!$AI$5&gt;12,'Vstupní hodnoty'!$H$8*Model!AK6,IF(Model!$AI$5&gt;9,'Vstupní hodnoty'!$H$7*Model!AK6,IF(Model!$AI$5&gt;6,'Vstupní hodnoty'!$H$6*Model!AK6,IF(Model!$AI$5&gt;3,'Vstupní hodnoty'!$H$5*Model!AK6,IF(Model!$AI$5&gt;1,'Vstupní hodnoty'!$H$4*Model!AK6,0)))))</f>
        <v>3341</v>
      </c>
      <c r="AR6" s="5">
        <f>AM6+AN6+AO6+AL6*'Vstupní hodnoty'!L$4+AQ6*'Vstupní hodnoty'!L$4+AP6*'Vstupní hodnoty'!L$4</f>
        <v>46258.383333333339</v>
      </c>
      <c r="AS6" s="5">
        <f t="shared" si="7"/>
        <v>3558.33717948718</v>
      </c>
      <c r="AU6" s="7" t="s">
        <v>134</v>
      </c>
      <c r="AV6" s="103">
        <v>36</v>
      </c>
      <c r="AX6" s="12">
        <v>13</v>
      </c>
      <c r="AY6" s="5">
        <f>INDEX('Vstupní hodnoty'!$A$4:$A$15, MATCH(Model!$AV$2,'Vstupní hodnoty'!$B$4:$B$15,0))/30*(AX6+1*AX6/7)</f>
        <v>17779.047619047622</v>
      </c>
      <c r="AZ6">
        <f t="shared" si="8"/>
        <v>0</v>
      </c>
      <c r="BA6">
        <f t="shared" si="9"/>
        <v>24000</v>
      </c>
      <c r="BB6" s="5">
        <f>'Roční bonus alt 2'!D5+ IF(OR(AX6&lt;21, AV$3=4, AV$4=4),0,IF(AV$3&lt;2,'Vstupní hodnoty'!O$6*'Vstupní hodnoty'!$A$17*(Model!AX6-20),IF(Model!AV$3&lt;3,'Vstupní hodnoty'!O$5*'Vstupní hodnoty'!$A$17*(Model!AX6-20),IF(Model!AV$3&lt;4,'Vstupní hodnoty'!O$4*'Vstupní hodnoty'!$A$17*(Model!AX6-20),0)))) +IF(OR(AX6&lt;21,AV$3=4, AV$4=4), 0, IF(AV$4=1, 'Vstupní hodnoty'!P$6, IF(Model!AV$4=2, 'Vstupní hodnoty'!P$5, IF(Model!AV$4=3, 'Vstupní hodnoty'!P$4, 0))))</f>
        <v>0</v>
      </c>
      <c r="BC6">
        <f>IF($AV$7=1, 'Vstupní hodnoty'!J$4*(2/3)/30*Model!AX6, 0)</f>
        <v>0</v>
      </c>
      <c r="BD6">
        <f>IF(Model!$AV$5&gt;12,'Vstupní hodnoty'!$Q$8*Model!AX6,IF(Model!$AV$5&gt;9,'Vstupní hodnoty'!$Q$7*Model!AX6,IF(Model!$AV$5&gt;6,'Vstupní hodnoty'!$Q$6*Model!AX6,IF(Model!$AV$5&gt;3,'Vstupní hodnoty'!$Q$5*Model!AX6,IF(Model!$AV$5&gt;1,'Vstupní hodnoty'!$Q$4*Model!AX6,0)))))</f>
        <v>4056</v>
      </c>
      <c r="BE6" s="5">
        <f>AZ6+BA6+BB6+AY6*'Vstupní hodnoty'!L$4+BD6*'Vstupní hodnoty'!L$4+BC6*'Vstupní hodnoty'!L$4</f>
        <v>42559.790476190479</v>
      </c>
      <c r="BF6" s="5">
        <f t="shared" si="10"/>
        <v>3273.8300366300368</v>
      </c>
    </row>
    <row r="7" spans="1:58" ht="17" thickBot="1" x14ac:dyDescent="0.25">
      <c r="A7" s="8" t="s">
        <v>5</v>
      </c>
      <c r="B7" s="104">
        <v>0</v>
      </c>
      <c r="D7" s="16">
        <v>14</v>
      </c>
      <c r="E7" s="17">
        <f>INDEX('Vstupní hodnoty'!$A$4:$A$15, MATCH(Model!$B$2,'Vstupní hodnoty'!$B$4:$B$15,0))/30*(D7+1*D7/7)</f>
        <v>19146.666666666668</v>
      </c>
      <c r="F7" s="18">
        <f t="shared" si="0"/>
        <v>0</v>
      </c>
      <c r="G7" s="18">
        <f t="shared" si="11"/>
        <v>24000</v>
      </c>
      <c r="H7" s="18">
        <f>IF(D7&lt;14, 0, IF(AND(D7&gt;20,$B$4&lt;3,$B$3&lt;2), 'Vstupní hodnoty'!K$6, IF(AND(D7&gt;20, $B$4&lt;3, $B$3&lt;4), 'Vstupní hodnoty'!$K$5, 'Vstupní hodnoty'!$K$4)))</f>
        <v>18000</v>
      </c>
      <c r="I7" s="18">
        <f>IF($B$7=1, 'Vstupní hodnoty'!J$4*(2/3)/30*Model!D7, 0)</f>
        <v>0</v>
      </c>
      <c r="J7" s="18">
        <f>IF(Model!$B$5&gt;12,'Vstupní hodnoty'!$H$8*Model!D7,IF(Model!$B$5&gt;9,'Vstupní hodnoty'!$H$7*Model!D7,IF(Model!$B$5&gt;6,'Vstupní hodnoty'!$H$6*Model!D7,IF(Model!$B$5&gt;3,'Vstupní hodnoty'!$H$5*Model!D7,IF(Model!$B$5&gt;1,'Vstupní hodnoty'!$H$4*Model!D7,0)))))</f>
        <v>2394</v>
      </c>
      <c r="K7" s="17">
        <f>F7+G7+H7+E7*'Vstupní hodnoty'!L$4+J7*'Vstupní hodnoty'!L$4+I7*'Vstupní hodnoty'!L$4</f>
        <v>60309.566666666673</v>
      </c>
      <c r="L7" s="17">
        <f t="shared" si="1"/>
        <v>4307.8261904761912</v>
      </c>
      <c r="U7" s="8" t="s">
        <v>5</v>
      </c>
      <c r="V7" s="104">
        <v>0</v>
      </c>
      <c r="X7" s="16">
        <v>14</v>
      </c>
      <c r="Y7" s="17">
        <f>INDEX('Vstupní hodnoty'!$A$4:$A$15, MATCH(Model!$V$2,'Vstupní hodnoty'!$B$4:$B$15,0))/30*(X7+1*X7/7)</f>
        <v>24602.666666666668</v>
      </c>
      <c r="Z7" s="18">
        <f t="shared" si="2"/>
        <v>0</v>
      </c>
      <c r="AA7" s="18">
        <f t="shared" si="3"/>
        <v>24000</v>
      </c>
      <c r="AB7" s="18">
        <f>IF(X7&lt;14, 0, IF(AND(X7&gt;20,$V$4&lt;3,$V$3&lt;2), 'Vstupní hodnoty'!$I$6, IF(AND(X7&gt;20, $V$4&lt;4, $V$3&lt;4), 'Vstupní hodnoty'!$I$5, 'Vstupní hodnoty'!$I$4)))</f>
        <v>18000</v>
      </c>
      <c r="AC7" s="18">
        <f>IF($V$7=1, 'Vstupní hodnoty'!$J$4*(2/3)/30*Model!X7, 0)</f>
        <v>0</v>
      </c>
      <c r="AD7" s="18">
        <f>IF(Model!$V$5&gt;12,'Vstupní hodnoty'!$H$8*Model!X7,IF(Model!$V$5&gt;9,'Vstupní hodnoty'!$H$7*Model!X7,IF(Model!$V$5&gt;6,'Vstupní hodnoty'!$H$6*Model!X7,IF(Model!$V$5&gt;3,'Vstupní hodnoty'!$H$5*Model!X7,IF(Model!$V$5&gt;1,'Vstupní hodnoty'!$H$4*Model!X7,0)))))</f>
        <v>3598</v>
      </c>
      <c r="AE7" s="17">
        <f>Z7+AA7+AB7+Y7*'Vstupní hodnoty'!L$4+AD7*'Vstupní hodnoty'!L$4+AC7*'Vstupní hodnoty'!L$4</f>
        <v>65970.566666666666</v>
      </c>
      <c r="AF7" s="17">
        <f t="shared" si="4"/>
        <v>4712.1833333333334</v>
      </c>
      <c r="AH7" s="8" t="s">
        <v>5</v>
      </c>
      <c r="AI7" s="104">
        <v>0</v>
      </c>
      <c r="AK7" s="16">
        <v>14</v>
      </c>
      <c r="AL7" s="17">
        <f>INDEX('Vstupní hodnoty'!$A$4:$A$15, MATCH(Model!$AI$2,'Vstupní hodnoty'!$B$4:$B$15,0))/30*(AK7+1*AK7/7)</f>
        <v>24602.666666666668</v>
      </c>
      <c r="AM7" s="18">
        <f t="shared" si="5"/>
        <v>0</v>
      </c>
      <c r="AN7" s="18">
        <f t="shared" si="6"/>
        <v>24000</v>
      </c>
      <c r="AO7" s="18">
        <f>IF(OR(AK7&lt;14, AI$3=4, AI$4=4),0,IF(AK7&lt;21,'Vstupní hodnoty'!N$4,IF(AK7&lt;28,'Vstupní hodnoty'!N$5,IF(AK7&lt;35,'Vstupní hodnoty'!N$6,'Vstupní hodnoty'!N$6))))+IF(OR(AK7&lt;21, AI$4=4),0,IF(AI$3&lt;2,'Vstupní hodnoty'!O$6*'Vstupní hodnoty'!$A$17*(AK7-20),IF(Model!AI$3&lt;3,'Vstupní hodnoty'!O$5*'Vstupní hodnoty'!$A$17*(AK7-20),IF(Model!AI$3&lt;4,'Vstupní hodnoty'!O$4*'Vstupní hodnoty'!$A$17*(AK7-20),0))))+IF(OR(AK7&lt;21, AI$3=4), 0, IF(AI$4=1, 'Vstupní hodnoty'!P$6, IF(Model!AI$4=2, 'Vstupní hodnoty'!P$5, IF(Model!AI$4=3, 'Vstupní hodnoty'!P$4, 0))))</f>
        <v>20800</v>
      </c>
      <c r="AP7" s="18">
        <f>IF($AI$7=1, 'Vstupní hodnoty'!J$4*(2/3)/30*Model!AK7, 0)</f>
        <v>0</v>
      </c>
      <c r="AQ7" s="18">
        <f>IF(Model!$AI$5&gt;12,'Vstupní hodnoty'!$H$8*Model!AK7,IF(Model!$AI$5&gt;9,'Vstupní hodnoty'!$H$7*Model!AK7,IF(Model!$AI$5&gt;6,'Vstupní hodnoty'!$H$6*Model!AK7,IF(Model!$AI$5&gt;3,'Vstupní hodnoty'!$H$5*Model!AK7,IF(Model!$AI$5&gt;1,'Vstupní hodnoty'!$H$4*Model!AK7,0)))))</f>
        <v>3598</v>
      </c>
      <c r="AR7" s="17">
        <f>AM7+AN7+AO7+AL7*'Vstupní hodnoty'!L$4+AQ7*'Vstupní hodnoty'!L$4+AP7*'Vstupní hodnoty'!L$4</f>
        <v>68770.566666666666</v>
      </c>
      <c r="AS7" s="17">
        <f t="shared" si="7"/>
        <v>4912.1833333333334</v>
      </c>
      <c r="AU7" s="8" t="s">
        <v>5</v>
      </c>
      <c r="AV7" s="104">
        <v>0</v>
      </c>
      <c r="AX7" s="16">
        <v>14</v>
      </c>
      <c r="AY7" s="17">
        <f>INDEX('Vstupní hodnoty'!$A$4:$A$15, MATCH(Model!$AV$2,'Vstupní hodnoty'!$B$4:$B$15,0))/30*(AX7+1*AX7/7)</f>
        <v>19146.666666666668</v>
      </c>
      <c r="AZ7" s="18">
        <f t="shared" si="8"/>
        <v>0</v>
      </c>
      <c r="BA7" s="18">
        <f t="shared" si="9"/>
        <v>24000</v>
      </c>
      <c r="BB7" s="17">
        <f>IF(OR(AV$3=4,AV$4=4),0,'Roční bonus alt 2'!D6)+IF(OR(AX7&lt;21,AV$3=4,AV$4=4),0,IF(AV$3&lt;2,'Vstupní hodnoty'!O$6*'Vstupní hodnoty'!$A$17*(Model!AX7-20),IF(Model!AV$3&lt;3,'Vstupní hodnoty'!O$5*'Vstupní hodnoty'!$A$17*(Model!AX7-20),IF(Model!AV$3&lt;4,'Vstupní hodnoty'!O$4*'Vstupní hodnoty'!$A$17*(Model!AX7-20),0))))+IF(OR(AX7&lt;21,AV$3=4,AV$4=4),0,IF(AV$4=1,'Vstupní hodnoty'!P$6,IF(Model!AV$4=2,'Vstupní hodnoty'!P$5,IF(Model!AV$4=3,'Vstupní hodnoty'!P$4,0))))</f>
        <v>9706.6666666666661</v>
      </c>
      <c r="BC7" s="18">
        <f>IF($AV$7=1, 'Vstupní hodnoty'!J$4*(2/3)/30*Model!AX7, 0)</f>
        <v>0</v>
      </c>
      <c r="BD7" s="18">
        <f>IF(Model!$AV$5&gt;12,'Vstupní hodnoty'!$Q$8*Model!AX7,IF(Model!$AV$5&gt;9,'Vstupní hodnoty'!$Q$7*Model!AX7,IF(Model!$AV$5&gt;6,'Vstupní hodnoty'!$Q$6*Model!AX7,IF(Model!$AV$5&gt;3,'Vstupní hodnoty'!$Q$5*Model!AX7,IF(Model!$AV$5&gt;1,'Vstupní hodnoty'!$Q$4*Model!AX7,0)))))</f>
        <v>4368</v>
      </c>
      <c r="BE7" s="17">
        <f>AZ7+BA7+BB7+AY7*'Vstupní hodnoty'!L$4+BD7*'Vstupní hodnoty'!L$4+BC7*'Vstupní hodnoty'!L$4</f>
        <v>53694.133333333331</v>
      </c>
      <c r="BF7" s="17">
        <f t="shared" si="10"/>
        <v>3835.2952380952379</v>
      </c>
    </row>
    <row r="8" spans="1:58" x14ac:dyDescent="0.2">
      <c r="D8" s="13">
        <v>15</v>
      </c>
      <c r="E8" s="5">
        <f>INDEX('Vstupní hodnoty'!$A$4:$A$15, MATCH(Model!$B$2,'Vstupní hodnoty'!$B$4:$B$15,0))/30*(D8+1*D8/7)</f>
        <v>20514.285714285714</v>
      </c>
      <c r="F8">
        <f t="shared" si="0"/>
        <v>0</v>
      </c>
      <c r="G8">
        <f t="shared" si="11"/>
        <v>24000</v>
      </c>
      <c r="H8">
        <f>IF(D8&lt;14, 0, IF(AND(D8&gt;20,$B$4&lt;3,$B$3&lt;2), 'Vstupní hodnoty'!K$6, IF(AND(D8&gt;20, $B$4&lt;3, $B$3&lt;4), 'Vstupní hodnoty'!$K$5, 'Vstupní hodnoty'!$K$4)))</f>
        <v>18000</v>
      </c>
      <c r="I8">
        <f>IF($B$7=1, 'Vstupní hodnoty'!J$4*(2/3)/30*Model!D8, 0)</f>
        <v>0</v>
      </c>
      <c r="J8">
        <f>IF(Model!$B$5&gt;12,'Vstupní hodnoty'!$H$8*Model!D8,IF(Model!$B$5&gt;9,'Vstupní hodnoty'!$H$7*Model!D8,IF(Model!$B$5&gt;6,'Vstupní hodnoty'!$H$6*Model!D8,IF(Model!$B$5&gt;3,'Vstupní hodnoty'!$H$5*Model!D8,IF(Model!$B$5&gt;1,'Vstupní hodnoty'!$H$4*Model!D8,0)))))</f>
        <v>2565</v>
      </c>
      <c r="K8" s="5">
        <f>F8+G8+H8+E8*'Vstupní hodnoty'!L$4+J8*'Vstupní hodnoty'!L$4+I8*'Vstupní hodnoty'!L$4</f>
        <v>61617.392857142855</v>
      </c>
      <c r="L8" s="5">
        <f t="shared" si="1"/>
        <v>4107.8261904761903</v>
      </c>
      <c r="X8" s="13">
        <v>15</v>
      </c>
      <c r="Y8" s="5">
        <f>INDEX('Vstupní hodnoty'!$A$4:$A$15, MATCH(Model!$V$2,'Vstupní hodnoty'!$B$4:$B$15,0))/30*(X8+1*X8/7)</f>
        <v>26360</v>
      </c>
      <c r="Z8">
        <f t="shared" si="2"/>
        <v>0</v>
      </c>
      <c r="AA8">
        <f t="shared" si="3"/>
        <v>24000</v>
      </c>
      <c r="AB8">
        <f>IF(X8&lt;14, 0, IF(AND(X8&gt;20,$V$4&lt;3,$V$3&lt;2), 'Vstupní hodnoty'!$I$6, IF(AND(X8&gt;20, $V$4&lt;4, $V$3&lt;4), 'Vstupní hodnoty'!$I$5, 'Vstupní hodnoty'!$I$4)))</f>
        <v>18000</v>
      </c>
      <c r="AC8">
        <f>IF($V$7=1, 'Vstupní hodnoty'!$J$4*(2/3)/30*Model!X8, 0)</f>
        <v>0</v>
      </c>
      <c r="AD8">
        <f>IF(Model!$V$5&gt;12,'Vstupní hodnoty'!$H$8*Model!X8,IF(Model!$V$5&gt;9,'Vstupní hodnoty'!$H$7*Model!X8,IF(Model!$V$5&gt;6,'Vstupní hodnoty'!$H$6*Model!X8,IF(Model!$V$5&gt;3,'Vstupní hodnoty'!$H$5*Model!X8,IF(Model!$V$5&gt;1,'Vstupní hodnoty'!$H$4*Model!X8,0)))))</f>
        <v>3855</v>
      </c>
      <c r="AE8" s="5">
        <f>Z8+AA8+AB8+Y8*'Vstupní hodnoty'!L$4+AD8*'Vstupní hodnoty'!L$4+AC8*'Vstupní hodnoty'!L$4</f>
        <v>67682.75</v>
      </c>
      <c r="AF8" s="5">
        <f t="shared" si="4"/>
        <v>4512.1833333333334</v>
      </c>
      <c r="AK8" s="13">
        <v>15</v>
      </c>
      <c r="AL8" s="5">
        <f>INDEX('Vstupní hodnoty'!$A$4:$A$15, MATCH(Model!$AI$2,'Vstupní hodnoty'!$B$4:$B$15,0))/30*(AK8+1*AK8/7)</f>
        <v>26360</v>
      </c>
      <c r="AM8">
        <f t="shared" si="5"/>
        <v>0</v>
      </c>
      <c r="AN8">
        <f t="shared" si="6"/>
        <v>24000</v>
      </c>
      <c r="AO8">
        <f>IF(OR(AK8&lt;14, AI$3=4, AI$4=4),0,IF(AK8&lt;21,'Vstupní hodnoty'!N$4,IF(AK8&lt;28,'Vstupní hodnoty'!N$5,IF(AK8&lt;35,'Vstupní hodnoty'!N$6,'Vstupní hodnoty'!N$6))))+IF(OR(AK8&lt;21, AI$4=4),0,IF(AI$3&lt;2,'Vstupní hodnoty'!O$6*'Vstupní hodnoty'!$A$17*(AK8-20),IF(Model!AI$3&lt;3,'Vstupní hodnoty'!O$5*'Vstupní hodnoty'!$A$17*(AK8-20),IF(Model!AI$3&lt;4,'Vstupní hodnoty'!O$4*'Vstupní hodnoty'!$A$17*(AK8-20),0))))+IF(OR(AK8&lt;21, AI$3=4), 0, IF(AI$4=1, 'Vstupní hodnoty'!P$6, IF(Model!AI$4=2, 'Vstupní hodnoty'!P$5, IF(Model!AI$4=3, 'Vstupní hodnoty'!P$4, 0))))</f>
        <v>20800</v>
      </c>
      <c r="AP8">
        <f>IF($AI$7=1, 'Vstupní hodnoty'!J$4*(2/3)/30*Model!AK8, 0)</f>
        <v>0</v>
      </c>
      <c r="AQ8">
        <f>IF(Model!$AI$5&gt;12,'Vstupní hodnoty'!$H$8*Model!AK8,IF(Model!$AI$5&gt;9,'Vstupní hodnoty'!$H$7*Model!AK8,IF(Model!$AI$5&gt;6,'Vstupní hodnoty'!$H$6*Model!AK8,IF(Model!$AI$5&gt;3,'Vstupní hodnoty'!$H$5*Model!AK8,IF(Model!$AI$5&gt;1,'Vstupní hodnoty'!$H$4*Model!AK8,0)))))</f>
        <v>3855</v>
      </c>
      <c r="AR8" s="5">
        <f>AM8+AN8+AO8+AL8*'Vstupní hodnoty'!L$4+AQ8*'Vstupní hodnoty'!L$4+AP8*'Vstupní hodnoty'!L$4</f>
        <v>70482.75</v>
      </c>
      <c r="AS8" s="5">
        <f t="shared" si="7"/>
        <v>4698.8500000000004</v>
      </c>
      <c r="AX8" s="13">
        <v>15</v>
      </c>
      <c r="AY8" s="5">
        <f>INDEX('Vstupní hodnoty'!$A$4:$A$15, MATCH(Model!$AV$2,'Vstupní hodnoty'!$B$4:$B$15,0))/30*(AX8+1*AX8/7)</f>
        <v>20514.285714285714</v>
      </c>
      <c r="AZ8">
        <f t="shared" si="8"/>
        <v>0</v>
      </c>
      <c r="BA8">
        <f t="shared" si="9"/>
        <v>24000</v>
      </c>
      <c r="BB8" s="5">
        <f>IF(OR(AV$3=4,AV$4=4),0,'Roční bonus alt 2'!D7)+IF(OR(AX8&lt;21,AV$3=4,AV$4=4),0,IF(AV$3&lt;2,'Vstupní hodnoty'!O$6*'Vstupní hodnoty'!$A$17*(Model!AX8-20),IF(Model!AV$3&lt;3,'Vstupní hodnoty'!O$5*'Vstupní hodnoty'!$A$17*(Model!AX8-20),IF(Model!AV$3&lt;4,'Vstupní hodnoty'!O$4*'Vstupní hodnoty'!$A$17*(Model!AX8-20),0))))+IF(OR(AX8&lt;21,AV$3=4,AV$4=4),0,IF(AV$4=1,'Vstupní hodnoty'!P$6,IF(Model!AV$4=2,'Vstupní hodnoty'!P$5,IF(Model!AV$4=3,'Vstupní hodnoty'!P$4,0))))</f>
        <v>11093.333333333334</v>
      </c>
      <c r="BC8">
        <f>IF($AV$7=1, 'Vstupní hodnoty'!J$4*(2/3)/30*Model!AX8, 0)</f>
        <v>0</v>
      </c>
      <c r="BD8">
        <f>IF(Model!$AV$5&gt;12,'Vstupní hodnoty'!$Q$8*Model!AX8,IF(Model!$AV$5&gt;9,'Vstupní hodnoty'!$Q$7*Model!AX8,IF(Model!$AV$5&gt;6,'Vstupní hodnoty'!$Q$6*Model!AX8,IF(Model!$AV$5&gt;3,'Vstupní hodnoty'!$Q$5*Model!AX8,IF(Model!$AV$5&gt;1,'Vstupní hodnoty'!$Q$4*Model!AX8,0)))))</f>
        <v>4680</v>
      </c>
      <c r="BE8" s="5">
        <f>AZ8+BA8+BB8+AY8*'Vstupní hodnoty'!L$4+BD8*'Vstupní hodnoty'!L$4+BC8*'Vstupní hodnoty'!L$4</f>
        <v>56508.476190476191</v>
      </c>
      <c r="BF8" s="5">
        <f t="shared" si="10"/>
        <v>3767.2317460317458</v>
      </c>
    </row>
    <row r="9" spans="1:58" x14ac:dyDescent="0.2">
      <c r="D9" s="13">
        <v>16</v>
      </c>
      <c r="E9" s="5">
        <f>INDEX('Vstupní hodnoty'!$A$4:$A$15, MATCH(Model!$B$2,'Vstupní hodnoty'!$B$4:$B$15,0))/30*(D9+1*D9/7)</f>
        <v>21881.904761904763</v>
      </c>
      <c r="F9">
        <f t="shared" si="0"/>
        <v>0</v>
      </c>
      <c r="G9">
        <f t="shared" si="11"/>
        <v>24000</v>
      </c>
      <c r="H9">
        <f>IF(D9&lt;14, 0, IF(AND(D9&gt;20,$B$4&lt;3,$B$3&lt;2), 'Vstupní hodnoty'!K$6, IF(AND(D9&gt;20, $B$4&lt;3, $B$3&lt;4), 'Vstupní hodnoty'!$K$5, 'Vstupní hodnoty'!$K$4)))</f>
        <v>18000</v>
      </c>
      <c r="I9">
        <f>IF($B$7=1, 'Vstupní hodnoty'!J$4*(2/3)/30*Model!D9, 0)</f>
        <v>0</v>
      </c>
      <c r="J9">
        <f>IF(Model!$B$5&gt;12,'Vstupní hodnoty'!$H$8*Model!D9,IF(Model!$B$5&gt;9,'Vstupní hodnoty'!$H$7*Model!D9,IF(Model!$B$5&gt;6,'Vstupní hodnoty'!$H$6*Model!D9,IF(Model!$B$5&gt;3,'Vstupní hodnoty'!$H$5*Model!D9,IF(Model!$B$5&gt;1,'Vstupní hodnoty'!$H$4*Model!D9,0)))))</f>
        <v>2736</v>
      </c>
      <c r="K9" s="5">
        <f>F9+G9+H9+E9*'Vstupní hodnoty'!L$4+J9*'Vstupní hodnoty'!L$4+I9*'Vstupní hodnoty'!L$4</f>
        <v>62925.219047619052</v>
      </c>
      <c r="L9" s="5">
        <f t="shared" si="1"/>
        <v>3932.8261904761907</v>
      </c>
      <c r="X9" s="13">
        <v>16</v>
      </c>
      <c r="Y9" s="5">
        <f>INDEX('Vstupní hodnoty'!$A$4:$A$15, MATCH(Model!$V$2,'Vstupní hodnoty'!$B$4:$B$15,0))/30*(X9+1*X9/7)</f>
        <v>28117.333333333332</v>
      </c>
      <c r="Z9">
        <f t="shared" si="2"/>
        <v>0</v>
      </c>
      <c r="AA9">
        <f t="shared" si="3"/>
        <v>24000</v>
      </c>
      <c r="AB9">
        <f>IF(X9&lt;14, 0, IF(AND(X9&gt;20,$V$4&lt;3,$V$3&lt;2), 'Vstupní hodnoty'!$I$6, IF(AND(X9&gt;20, $V$4&lt;4, $V$3&lt;4), 'Vstupní hodnoty'!$I$5, 'Vstupní hodnoty'!$I$4)))</f>
        <v>18000</v>
      </c>
      <c r="AC9">
        <f>IF($V$7=1, 'Vstupní hodnoty'!$J$4*(2/3)/30*Model!X9, 0)</f>
        <v>0</v>
      </c>
      <c r="AD9">
        <f>IF(Model!$V$5&gt;12,'Vstupní hodnoty'!$H$8*Model!X9,IF(Model!$V$5&gt;9,'Vstupní hodnoty'!$H$7*Model!X9,IF(Model!$V$5&gt;6,'Vstupní hodnoty'!$H$6*Model!X9,IF(Model!$V$5&gt;3,'Vstupní hodnoty'!$H$5*Model!X9,IF(Model!$V$5&gt;1,'Vstupní hodnoty'!$H$4*Model!X9,0)))))</f>
        <v>4112</v>
      </c>
      <c r="AE9" s="5">
        <f>Z9+AA9+AB9+Y9*'Vstupní hodnoty'!L$4+AD9*'Vstupní hodnoty'!L$4+AC9*'Vstupní hodnoty'!L$4</f>
        <v>69394.933333333334</v>
      </c>
      <c r="AF9" s="5">
        <f t="shared" si="4"/>
        <v>4337.1833333333334</v>
      </c>
      <c r="AK9" s="13">
        <v>16</v>
      </c>
      <c r="AL9" s="5">
        <f>INDEX('Vstupní hodnoty'!$A$4:$A$15, MATCH(Model!$AI$2,'Vstupní hodnoty'!$B$4:$B$15,0))/30*(AK9+1*AK9/7)</f>
        <v>28117.333333333332</v>
      </c>
      <c r="AM9">
        <f t="shared" si="5"/>
        <v>0</v>
      </c>
      <c r="AN9">
        <f t="shared" si="6"/>
        <v>24000</v>
      </c>
      <c r="AO9">
        <f>IF(OR(AK9&lt;14, AI$3=4, AI$4=4),0,IF(AK9&lt;21,'Vstupní hodnoty'!N$4,IF(AK9&lt;28,'Vstupní hodnoty'!N$5,IF(AK9&lt;35,'Vstupní hodnoty'!N$6,'Vstupní hodnoty'!N$6))))+IF(OR(AK9&lt;21, AI$4=4),0,IF(AI$3&lt;2,'Vstupní hodnoty'!O$6*'Vstupní hodnoty'!$A$17*(AK9-20),IF(Model!AI$3&lt;3,'Vstupní hodnoty'!O$5*'Vstupní hodnoty'!$A$17*(AK9-20),IF(Model!AI$3&lt;4,'Vstupní hodnoty'!O$4*'Vstupní hodnoty'!$A$17*(AK9-20),0))))+IF(OR(AK9&lt;21, AI$3=4), 0, IF(AI$4=1, 'Vstupní hodnoty'!P$6, IF(Model!AI$4=2, 'Vstupní hodnoty'!P$5, IF(Model!AI$4=3, 'Vstupní hodnoty'!P$4, 0))))</f>
        <v>20800</v>
      </c>
      <c r="AP9">
        <f>IF($AI$7=1, 'Vstupní hodnoty'!J$4*(2/3)/30*Model!AK9, 0)</f>
        <v>0</v>
      </c>
      <c r="AQ9">
        <f>IF(Model!$AI$5&gt;12,'Vstupní hodnoty'!$H$8*Model!AK9,IF(Model!$AI$5&gt;9,'Vstupní hodnoty'!$H$7*Model!AK9,IF(Model!$AI$5&gt;6,'Vstupní hodnoty'!$H$6*Model!AK9,IF(Model!$AI$5&gt;3,'Vstupní hodnoty'!$H$5*Model!AK9,IF(Model!$AI$5&gt;1,'Vstupní hodnoty'!$H$4*Model!AK9,0)))))</f>
        <v>4112</v>
      </c>
      <c r="AR9" s="5">
        <f>AM9+AN9+AO9+AL9*'Vstupní hodnoty'!L$4+AQ9*'Vstupní hodnoty'!L$4+AP9*'Vstupní hodnoty'!L$4</f>
        <v>72194.933333333334</v>
      </c>
      <c r="AS9" s="5">
        <f t="shared" si="7"/>
        <v>4512.1833333333334</v>
      </c>
      <c r="AX9" s="13">
        <v>16</v>
      </c>
      <c r="AY9" s="5">
        <f>INDEX('Vstupní hodnoty'!$A$4:$A$15, MATCH(Model!$AV$2,'Vstupní hodnoty'!$B$4:$B$15,0))/30*(AX9+1*AX9/7)</f>
        <v>21881.904761904763</v>
      </c>
      <c r="AZ9">
        <f t="shared" si="8"/>
        <v>0</v>
      </c>
      <c r="BA9">
        <f t="shared" si="9"/>
        <v>24000</v>
      </c>
      <c r="BB9" s="5">
        <f>IF(OR(AV$3=4,AV$4=4),0,'Roční bonus alt 2'!D8)+IF(OR(AX9&lt;21,AV$3=4,AV$4=4),0,IF(AV$3&lt;2,'Vstupní hodnoty'!O$6*'Vstupní hodnoty'!$A$17*(Model!AX9-20),IF(Model!AV$3&lt;3,'Vstupní hodnoty'!O$5*'Vstupní hodnoty'!$A$17*(Model!AX9-20),IF(Model!AV$3&lt;4,'Vstupní hodnoty'!O$4*'Vstupní hodnoty'!$A$17*(Model!AX9-20),0))))+IF(OR(AX9&lt;21,AV$3=4,AV$4=4),0,IF(AV$4=1,'Vstupní hodnoty'!P$6,IF(Model!AV$4=2,'Vstupní hodnoty'!P$5,IF(Model!AV$4=3,'Vstupní hodnoty'!P$4,0))))</f>
        <v>12480</v>
      </c>
      <c r="BC9">
        <f>IF($AV$7=1, 'Vstupní hodnoty'!J$4*(2/3)/30*Model!AX9, 0)</f>
        <v>0</v>
      </c>
      <c r="BD9">
        <f>IF(Model!$AV$5&gt;12,'Vstupní hodnoty'!$Q$8*Model!AX9,IF(Model!$AV$5&gt;9,'Vstupní hodnoty'!$Q$7*Model!AX9,IF(Model!$AV$5&gt;6,'Vstupní hodnoty'!$Q$6*Model!AX9,IF(Model!$AV$5&gt;3,'Vstupní hodnoty'!$Q$5*Model!AX9,IF(Model!$AV$5&gt;1,'Vstupní hodnoty'!$Q$4*Model!AX9,0)))))</f>
        <v>4992</v>
      </c>
      <c r="BE9" s="5">
        <f>AZ9+BA9+BB9+AY9*'Vstupní hodnoty'!L$4+BD9*'Vstupní hodnoty'!L$4+BC9*'Vstupní hodnoty'!L$4</f>
        <v>59322.81904761905</v>
      </c>
      <c r="BF9" s="5">
        <f t="shared" si="10"/>
        <v>3707.6761904761906</v>
      </c>
    </row>
    <row r="10" spans="1:58" x14ac:dyDescent="0.2">
      <c r="D10" s="13">
        <v>17</v>
      </c>
      <c r="E10" s="5">
        <f>INDEX('Vstupní hodnoty'!$A$4:$A$15, MATCH(Model!$B$2,'Vstupní hodnoty'!$B$4:$B$15,0))/30*(D10+1*D10/7)</f>
        <v>23249.523809523809</v>
      </c>
      <c r="F10">
        <f t="shared" si="0"/>
        <v>0</v>
      </c>
      <c r="G10">
        <f t="shared" si="11"/>
        <v>24000</v>
      </c>
      <c r="H10">
        <f>IF(D10&lt;14, 0, IF(AND(D10&gt;20,$B$4&lt;3,$B$3&lt;2), 'Vstupní hodnoty'!K$6, IF(AND(D10&gt;20, $B$4&lt;3, $B$3&lt;4), 'Vstupní hodnoty'!$K$5, 'Vstupní hodnoty'!$K$4)))</f>
        <v>18000</v>
      </c>
      <c r="I10">
        <f>IF($B$7=1, 'Vstupní hodnoty'!J$4*(2/3)/30*Model!D10, 0)</f>
        <v>0</v>
      </c>
      <c r="J10">
        <f>IF(Model!$B$5&gt;12,'Vstupní hodnoty'!$H$8*Model!D10,IF(Model!$B$5&gt;9,'Vstupní hodnoty'!$H$7*Model!D10,IF(Model!$B$5&gt;6,'Vstupní hodnoty'!$H$6*Model!D10,IF(Model!$B$5&gt;3,'Vstupní hodnoty'!$H$5*Model!D10,IF(Model!$B$5&gt;1,'Vstupní hodnoty'!$H$4*Model!D10,0)))))</f>
        <v>2907</v>
      </c>
      <c r="K10" s="5">
        <f>F10+G10+H10+E10*'Vstupní hodnoty'!L$4+J10*'Vstupní hodnoty'!L$4+I10*'Vstupní hodnoty'!L$4</f>
        <v>64233.045238095234</v>
      </c>
      <c r="L10" s="5">
        <f t="shared" si="1"/>
        <v>3778.4144257703078</v>
      </c>
      <c r="X10" s="13">
        <v>17</v>
      </c>
      <c r="Y10" s="5">
        <f>INDEX('Vstupní hodnoty'!$A$4:$A$15, MATCH(Model!$V$2,'Vstupní hodnoty'!$B$4:$B$15,0))/30*(X10+1*X10/7)</f>
        <v>29874.666666666664</v>
      </c>
      <c r="Z10">
        <f t="shared" si="2"/>
        <v>0</v>
      </c>
      <c r="AA10">
        <f t="shared" si="3"/>
        <v>24000</v>
      </c>
      <c r="AB10">
        <f>IF(X10&lt;14, 0, IF(AND(X10&gt;20,$V$4&lt;3,$V$3&lt;2), 'Vstupní hodnoty'!$I$6, IF(AND(X10&gt;20, $V$4&lt;4, $V$3&lt;4), 'Vstupní hodnoty'!$I$5, 'Vstupní hodnoty'!$I$4)))</f>
        <v>18000</v>
      </c>
      <c r="AC10">
        <f>IF($V$7=1, 'Vstupní hodnoty'!$J$4*(2/3)/30*Model!X10, 0)</f>
        <v>0</v>
      </c>
      <c r="AD10">
        <f>IF(Model!$V$5&gt;12,'Vstupní hodnoty'!$H$8*Model!X10,IF(Model!$V$5&gt;9,'Vstupní hodnoty'!$H$7*Model!X10,IF(Model!$V$5&gt;6,'Vstupní hodnoty'!$H$6*Model!X10,IF(Model!$V$5&gt;3,'Vstupní hodnoty'!$H$5*Model!X10,IF(Model!$V$5&gt;1,'Vstupní hodnoty'!$H$4*Model!X10,0)))))</f>
        <v>4369</v>
      </c>
      <c r="AE10" s="5">
        <f>Z10+AA10+AB10+Y10*'Vstupní hodnoty'!L$4+AD10*'Vstupní hodnoty'!L$4+AC10*'Vstupní hodnoty'!L$4</f>
        <v>71107.116666666654</v>
      </c>
      <c r="AF10" s="5">
        <f t="shared" si="4"/>
        <v>4182.7715686274505</v>
      </c>
      <c r="AK10" s="13">
        <v>17</v>
      </c>
      <c r="AL10" s="5">
        <f>INDEX('Vstupní hodnoty'!$A$4:$A$15, MATCH(Model!$AI$2,'Vstupní hodnoty'!$B$4:$B$15,0))/30*(AK10+1*AK10/7)</f>
        <v>29874.666666666664</v>
      </c>
      <c r="AM10">
        <f t="shared" si="5"/>
        <v>0</v>
      </c>
      <c r="AN10">
        <f t="shared" si="6"/>
        <v>24000</v>
      </c>
      <c r="AO10">
        <f>IF(OR(AK10&lt;14, AI$3=4, AI$4=4),0,IF(AK10&lt;21,'Vstupní hodnoty'!N$4,IF(AK10&lt;28,'Vstupní hodnoty'!N$5,IF(AK10&lt;35,'Vstupní hodnoty'!N$6,'Vstupní hodnoty'!N$6))))+IF(OR(AK10&lt;21, AI$4=4),0,IF(AI$3&lt;2,'Vstupní hodnoty'!O$6*'Vstupní hodnoty'!$A$17*(AK10-20),IF(Model!AI$3&lt;3,'Vstupní hodnoty'!O$5*'Vstupní hodnoty'!$A$17*(AK10-20),IF(Model!AI$3&lt;4,'Vstupní hodnoty'!O$4*'Vstupní hodnoty'!$A$17*(AK10-20),0))))+IF(OR(AK10&lt;21, AI$3=4), 0, IF(AI$4=1, 'Vstupní hodnoty'!P$6, IF(Model!AI$4=2, 'Vstupní hodnoty'!P$5, IF(Model!AI$4=3, 'Vstupní hodnoty'!P$4, 0))))</f>
        <v>20800</v>
      </c>
      <c r="AP10">
        <f>IF($AI$7=1, 'Vstupní hodnoty'!J$4*(2/3)/30*Model!AK10, 0)</f>
        <v>0</v>
      </c>
      <c r="AQ10">
        <f>IF(Model!$AI$5&gt;12,'Vstupní hodnoty'!$H$8*Model!AK10,IF(Model!$AI$5&gt;9,'Vstupní hodnoty'!$H$7*Model!AK10,IF(Model!$AI$5&gt;6,'Vstupní hodnoty'!$H$6*Model!AK10,IF(Model!$AI$5&gt;3,'Vstupní hodnoty'!$H$5*Model!AK10,IF(Model!$AI$5&gt;1,'Vstupní hodnoty'!$H$4*Model!AK10,0)))))</f>
        <v>4369</v>
      </c>
      <c r="AR10" s="5">
        <f>AM10+AN10+AO10+AL10*'Vstupní hodnoty'!L$4+AQ10*'Vstupní hodnoty'!L$4+AP10*'Vstupní hodnoty'!L$4</f>
        <v>73907.116666666654</v>
      </c>
      <c r="AS10" s="5">
        <f t="shared" si="7"/>
        <v>4347.477450980391</v>
      </c>
      <c r="AX10" s="13">
        <v>17</v>
      </c>
      <c r="AY10" s="5">
        <f>INDEX('Vstupní hodnoty'!$A$4:$A$15, MATCH(Model!$AV$2,'Vstupní hodnoty'!$B$4:$B$15,0))/30*(AX10+1*AX10/7)</f>
        <v>23249.523809523809</v>
      </c>
      <c r="AZ10">
        <f t="shared" si="8"/>
        <v>0</v>
      </c>
      <c r="BA10">
        <f t="shared" si="9"/>
        <v>24000</v>
      </c>
      <c r="BB10" s="5">
        <f>IF(OR(AV$3=4,AV$4=4),0,'Roční bonus alt 2'!D9)+IF(OR(AX10&lt;21,AV$3=4,AV$4=4),0,IF(AV$3&lt;2,'Vstupní hodnoty'!O$6*'Vstupní hodnoty'!$A$17*(Model!AX10-20),IF(Model!AV$3&lt;3,'Vstupní hodnoty'!O$5*'Vstupní hodnoty'!$A$17*(Model!AX10-20),IF(Model!AV$3&lt;4,'Vstupní hodnoty'!O$4*'Vstupní hodnoty'!$A$17*(Model!AX10-20),0))))+IF(OR(AX10&lt;21,AV$3=4,AV$4=4),0,IF(AV$4=1,'Vstupní hodnoty'!P$6,IF(Model!AV$4=2,'Vstupní hodnoty'!P$5,IF(Model!AV$4=3,'Vstupní hodnoty'!P$4,0))))</f>
        <v>13866.666666666668</v>
      </c>
      <c r="BC10">
        <f>IF($AV$7=1, 'Vstupní hodnoty'!J$4*(2/3)/30*Model!AX10, 0)</f>
        <v>0</v>
      </c>
      <c r="BD10">
        <f>IF(Model!$AV$5&gt;12,'Vstupní hodnoty'!$Q$8*Model!AX10,IF(Model!$AV$5&gt;9,'Vstupní hodnoty'!$Q$7*Model!AX10,IF(Model!$AV$5&gt;6,'Vstupní hodnoty'!$Q$6*Model!AX10,IF(Model!$AV$5&gt;3,'Vstupní hodnoty'!$Q$5*Model!AX10,IF(Model!$AV$5&gt;1,'Vstupní hodnoty'!$Q$4*Model!AX10,0)))))</f>
        <v>5304</v>
      </c>
      <c r="BE10" s="5">
        <f>AZ10+BA10+BB10+AY10*'Vstupní hodnoty'!L$4+BD10*'Vstupní hodnoty'!L$4+BC10*'Vstupní hodnoty'!L$4</f>
        <v>62137.16190476191</v>
      </c>
      <c r="BF10" s="5">
        <f t="shared" si="10"/>
        <v>3655.1271708683475</v>
      </c>
    </row>
    <row r="11" spans="1:58" x14ac:dyDescent="0.2">
      <c r="D11" s="13">
        <v>18</v>
      </c>
      <c r="E11" s="5">
        <f>INDEX('Vstupní hodnoty'!$A$4:$A$15, MATCH(Model!$B$2,'Vstupní hodnoty'!$B$4:$B$15,0))/30*(D11+1*D11/7)</f>
        <v>24617.142857142862</v>
      </c>
      <c r="F11">
        <f t="shared" si="0"/>
        <v>0</v>
      </c>
      <c r="G11">
        <f t="shared" si="11"/>
        <v>24000</v>
      </c>
      <c r="H11">
        <f>IF(D11&lt;14, 0, IF(AND(D11&gt;20,$B$4&lt;3,$B$3&lt;2), 'Vstupní hodnoty'!K$6, IF(AND(D11&gt;20, $B$4&lt;3, $B$3&lt;4), 'Vstupní hodnoty'!$K$5, 'Vstupní hodnoty'!$K$4)))</f>
        <v>18000</v>
      </c>
      <c r="I11">
        <f>IF($B$7=1, 'Vstupní hodnoty'!J$4*(2/3)/30*Model!D11, 0)</f>
        <v>0</v>
      </c>
      <c r="J11">
        <f>IF(Model!$B$5&gt;12,'Vstupní hodnoty'!$H$8*Model!D11,IF(Model!$B$5&gt;9,'Vstupní hodnoty'!$H$7*Model!D11,IF(Model!$B$5&gt;6,'Vstupní hodnoty'!$H$6*Model!D11,IF(Model!$B$5&gt;3,'Vstupní hodnoty'!$H$5*Model!D11,IF(Model!$B$5&gt;1,'Vstupní hodnoty'!$H$4*Model!D11,0)))))</f>
        <v>3078</v>
      </c>
      <c r="K11" s="5">
        <f>F11+G11+H11+E11*'Vstupní hodnoty'!L$4+J11*'Vstupní hodnoty'!L$4+I11*'Vstupní hodnoty'!L$4</f>
        <v>65540.871428571438</v>
      </c>
      <c r="L11" s="5">
        <f t="shared" si="1"/>
        <v>3641.1595238095242</v>
      </c>
      <c r="X11" s="13">
        <v>18</v>
      </c>
      <c r="Y11" s="5">
        <f>INDEX('Vstupní hodnoty'!$A$4:$A$15, MATCH(Model!$V$2,'Vstupní hodnoty'!$B$4:$B$15,0))/30*(X11+1*X11/7)</f>
        <v>31632.000000000004</v>
      </c>
      <c r="Z11">
        <f t="shared" si="2"/>
        <v>0</v>
      </c>
      <c r="AA11">
        <f t="shared" si="3"/>
        <v>24000</v>
      </c>
      <c r="AB11">
        <f>IF(X11&lt;14, 0, IF(AND(X11&gt;20,$V$4&lt;3,$V$3&lt;2), 'Vstupní hodnoty'!$I$6, IF(AND(X11&gt;20, $V$4&lt;4, $V$3&lt;4), 'Vstupní hodnoty'!$I$5, 'Vstupní hodnoty'!$I$4)))</f>
        <v>18000</v>
      </c>
      <c r="AC11">
        <f>IF($V$7=1, 'Vstupní hodnoty'!$J$4*(2/3)/30*Model!X11, 0)</f>
        <v>0</v>
      </c>
      <c r="AD11">
        <f>IF(Model!$V$5&gt;12,'Vstupní hodnoty'!$H$8*Model!X11,IF(Model!$V$5&gt;9,'Vstupní hodnoty'!$H$7*Model!X11,IF(Model!$V$5&gt;6,'Vstupní hodnoty'!$H$6*Model!X11,IF(Model!$V$5&gt;3,'Vstupní hodnoty'!$H$5*Model!X11,IF(Model!$V$5&gt;1,'Vstupní hodnoty'!$H$4*Model!X11,0)))))</f>
        <v>4626</v>
      </c>
      <c r="AE11" s="5">
        <f>Z11+AA11+AB11+Y11*'Vstupní hodnoty'!L$4+AD11*'Vstupní hodnoty'!L$4+AC11*'Vstupní hodnoty'!L$4</f>
        <v>72819.3</v>
      </c>
      <c r="AF11" s="5">
        <f t="shared" si="4"/>
        <v>4045.5166666666669</v>
      </c>
      <c r="AK11" s="13">
        <v>18</v>
      </c>
      <c r="AL11" s="5">
        <f>INDEX('Vstupní hodnoty'!$A$4:$A$15, MATCH(Model!$AI$2,'Vstupní hodnoty'!$B$4:$B$15,0))/30*(AK11+1*AK11/7)</f>
        <v>31632.000000000004</v>
      </c>
      <c r="AM11">
        <f t="shared" si="5"/>
        <v>0</v>
      </c>
      <c r="AN11">
        <f t="shared" si="6"/>
        <v>24000</v>
      </c>
      <c r="AO11">
        <f>IF(OR(AK11&lt;14, AI$3=4, AI$4=4),0,IF(AK11&lt;21,'Vstupní hodnoty'!N$4,IF(AK11&lt;28,'Vstupní hodnoty'!N$5,IF(AK11&lt;35,'Vstupní hodnoty'!N$6,'Vstupní hodnoty'!N$6))))+IF(OR(AK11&lt;21, AI$4=4),0,IF(AI$3&lt;2,'Vstupní hodnoty'!O$6*'Vstupní hodnoty'!$A$17*(AK11-20),IF(Model!AI$3&lt;3,'Vstupní hodnoty'!O$5*'Vstupní hodnoty'!$A$17*(AK11-20),IF(Model!AI$3&lt;4,'Vstupní hodnoty'!O$4*'Vstupní hodnoty'!$A$17*(AK11-20),0))))+IF(OR(AK11&lt;21, AI$3=4), 0, IF(AI$4=1, 'Vstupní hodnoty'!P$6, IF(Model!AI$4=2, 'Vstupní hodnoty'!P$5, IF(Model!AI$4=3, 'Vstupní hodnoty'!P$4, 0))))</f>
        <v>20800</v>
      </c>
      <c r="AP11">
        <f>IF($AI$7=1, 'Vstupní hodnoty'!J$4*(2/3)/30*Model!AK11, 0)</f>
        <v>0</v>
      </c>
      <c r="AQ11">
        <f>IF(Model!$AI$5&gt;12,'Vstupní hodnoty'!$H$8*Model!AK11,IF(Model!$AI$5&gt;9,'Vstupní hodnoty'!$H$7*Model!AK11,IF(Model!$AI$5&gt;6,'Vstupní hodnoty'!$H$6*Model!AK11,IF(Model!$AI$5&gt;3,'Vstupní hodnoty'!$H$5*Model!AK11,IF(Model!$AI$5&gt;1,'Vstupní hodnoty'!$H$4*Model!AK11,0)))))</f>
        <v>4626</v>
      </c>
      <c r="AR11" s="5">
        <f>AM11+AN11+AO11+AL11*'Vstupní hodnoty'!L$4+AQ11*'Vstupní hodnoty'!L$4+AP11*'Vstupní hodnoty'!L$4</f>
        <v>75619.3</v>
      </c>
      <c r="AS11" s="5">
        <f t="shared" si="7"/>
        <v>4201.0722222222221</v>
      </c>
      <c r="AX11" s="13">
        <v>18</v>
      </c>
      <c r="AY11" s="5">
        <f>INDEX('Vstupní hodnoty'!$A$4:$A$15, MATCH(Model!$AV$2,'Vstupní hodnoty'!$B$4:$B$15,0))/30*(AX11+1*AX11/7)</f>
        <v>24617.142857142862</v>
      </c>
      <c r="AZ11">
        <f t="shared" si="8"/>
        <v>0</v>
      </c>
      <c r="BA11">
        <f t="shared" si="9"/>
        <v>24000</v>
      </c>
      <c r="BB11" s="5">
        <f>IF(OR(AV$3=4,AV$4=4),0,'Roční bonus alt 2'!D10)+IF(OR(AX11&lt;21,AV$3=4,AV$4=4),0,IF(AV$3&lt;2,'Vstupní hodnoty'!O$6*'Vstupní hodnoty'!$A$17*(Model!AX11-20),IF(Model!AV$3&lt;3,'Vstupní hodnoty'!O$5*'Vstupní hodnoty'!$A$17*(Model!AX11-20),IF(Model!AV$3&lt;4,'Vstupní hodnoty'!O$4*'Vstupní hodnoty'!$A$17*(Model!AX11-20),0))))+IF(OR(AX11&lt;21,AV$3=4,AV$4=4),0,IF(AV$4=1,'Vstupní hodnoty'!P$6,IF(Model!AV$4=2,'Vstupní hodnoty'!P$5,IF(Model!AV$4=3,'Vstupní hodnoty'!P$4,0))))</f>
        <v>15253.333333333334</v>
      </c>
      <c r="BC11">
        <f>IF($AV$7=1, 'Vstupní hodnoty'!J$4*(2/3)/30*Model!AX11, 0)</f>
        <v>0</v>
      </c>
      <c r="BD11">
        <f>IF(Model!$AV$5&gt;12,'Vstupní hodnoty'!$Q$8*Model!AX11,IF(Model!$AV$5&gt;9,'Vstupní hodnoty'!$Q$7*Model!AX11,IF(Model!$AV$5&gt;6,'Vstupní hodnoty'!$Q$6*Model!AX11,IF(Model!$AV$5&gt;3,'Vstupní hodnoty'!$Q$5*Model!AX11,IF(Model!$AV$5&gt;1,'Vstupní hodnoty'!$Q$4*Model!AX11,0)))))</f>
        <v>5616</v>
      </c>
      <c r="BE11" s="5">
        <f>AZ11+BA11+BB11+AY11*'Vstupní hodnoty'!L$4+BD11*'Vstupní hodnoty'!L$4+BC11*'Vstupní hodnoty'!L$4</f>
        <v>64951.504761904762</v>
      </c>
      <c r="BF11" s="5">
        <f t="shared" si="10"/>
        <v>3608.4169312169311</v>
      </c>
    </row>
    <row r="12" spans="1:58" x14ac:dyDescent="0.2">
      <c r="D12" s="13">
        <v>19</v>
      </c>
      <c r="E12" s="5">
        <f>INDEX('Vstupní hodnoty'!$A$4:$A$15, MATCH(Model!$B$2,'Vstupní hodnoty'!$B$4:$B$15,0))/30*(D12+1*D12/7)</f>
        <v>25984.761904761908</v>
      </c>
      <c r="F12">
        <f t="shared" si="0"/>
        <v>0</v>
      </c>
      <c r="G12">
        <f t="shared" si="11"/>
        <v>24000</v>
      </c>
      <c r="H12">
        <f>IF(D12&lt;14, 0, IF(AND(D12&gt;20,$B$4&lt;3,$B$3&lt;2), 'Vstupní hodnoty'!K$6, IF(AND(D12&gt;20, $B$4&lt;3, $B$3&lt;4), 'Vstupní hodnoty'!$K$5, 'Vstupní hodnoty'!$K$4)))</f>
        <v>18000</v>
      </c>
      <c r="I12">
        <f>IF($B$7=1, 'Vstupní hodnoty'!J$4*(2/3)/30*Model!D12, 0)</f>
        <v>0</v>
      </c>
      <c r="J12">
        <f>IF(Model!$B$5&gt;12,'Vstupní hodnoty'!$H$8*Model!D12,IF(Model!$B$5&gt;9,'Vstupní hodnoty'!$H$7*Model!D12,IF(Model!$B$5&gt;6,'Vstupní hodnoty'!$H$6*Model!D12,IF(Model!$B$5&gt;3,'Vstupní hodnoty'!$H$5*Model!D12,IF(Model!$B$5&gt;1,'Vstupní hodnoty'!$H$4*Model!D12,0)))))</f>
        <v>3249</v>
      </c>
      <c r="K12" s="5">
        <f>F12+G12+H12+E12*'Vstupní hodnoty'!L$4+J12*'Vstupní hodnoty'!L$4+I12*'Vstupní hodnoty'!L$4</f>
        <v>66848.697619047613</v>
      </c>
      <c r="L12" s="5">
        <f t="shared" si="1"/>
        <v>3518.352506265664</v>
      </c>
      <c r="X12" s="13">
        <v>19</v>
      </c>
      <c r="Y12" s="5">
        <f>INDEX('Vstupní hodnoty'!$A$4:$A$15, MATCH(Model!$V$2,'Vstupní hodnoty'!$B$4:$B$15,0))/30*(X12+1*X12/7)</f>
        <v>33389.333333333336</v>
      </c>
      <c r="Z12">
        <f t="shared" si="2"/>
        <v>0</v>
      </c>
      <c r="AA12">
        <f t="shared" si="3"/>
        <v>24000</v>
      </c>
      <c r="AB12">
        <f>IF(X12&lt;14, 0, IF(AND(X12&gt;20,$V$4&lt;3,$V$3&lt;2), 'Vstupní hodnoty'!$I$6, IF(AND(X12&gt;20, $V$4&lt;4, $V$3&lt;4), 'Vstupní hodnoty'!$I$5, 'Vstupní hodnoty'!$I$4)))</f>
        <v>18000</v>
      </c>
      <c r="AC12">
        <f>IF($V$7=1, 'Vstupní hodnoty'!$J$4*(2/3)/30*Model!X12, 0)</f>
        <v>0</v>
      </c>
      <c r="AD12">
        <f>IF(Model!$V$5&gt;12,'Vstupní hodnoty'!$H$8*Model!X12,IF(Model!$V$5&gt;9,'Vstupní hodnoty'!$H$7*Model!X12,IF(Model!$V$5&gt;6,'Vstupní hodnoty'!$H$6*Model!X12,IF(Model!$V$5&gt;3,'Vstupní hodnoty'!$H$5*Model!X12,IF(Model!$V$5&gt;1,'Vstupní hodnoty'!$H$4*Model!X12,0)))))</f>
        <v>4883</v>
      </c>
      <c r="AE12" s="5">
        <f>Z12+AA12+AB12+Y12*'Vstupní hodnoty'!L$4+AD12*'Vstupní hodnoty'!L$4+AC12*'Vstupní hodnoty'!L$4</f>
        <v>74531.483333333337</v>
      </c>
      <c r="AF12" s="5">
        <f t="shared" si="4"/>
        <v>3922.7096491228071</v>
      </c>
      <c r="AK12" s="13">
        <v>19</v>
      </c>
      <c r="AL12" s="5">
        <f>INDEX('Vstupní hodnoty'!$A$4:$A$15, MATCH(Model!$AI$2,'Vstupní hodnoty'!$B$4:$B$15,0))/30*(AK12+1*AK12/7)</f>
        <v>33389.333333333336</v>
      </c>
      <c r="AM12">
        <f t="shared" si="5"/>
        <v>0</v>
      </c>
      <c r="AN12">
        <f t="shared" si="6"/>
        <v>24000</v>
      </c>
      <c r="AO12">
        <f>IF(OR(AK12&lt;14, AI$3=4, AI$4=4),0,IF(AK12&lt;21,'Vstupní hodnoty'!N$4,IF(AK12&lt;28,'Vstupní hodnoty'!N$5,IF(AK12&lt;35,'Vstupní hodnoty'!N$6,'Vstupní hodnoty'!N$6))))+IF(OR(AK12&lt;21, AI$4=4),0,IF(AI$3&lt;2,'Vstupní hodnoty'!O$6*'Vstupní hodnoty'!$A$17*(AK12-20),IF(Model!AI$3&lt;3,'Vstupní hodnoty'!O$5*'Vstupní hodnoty'!$A$17*(AK12-20),IF(Model!AI$3&lt;4,'Vstupní hodnoty'!O$4*'Vstupní hodnoty'!$A$17*(AK12-20),0))))+IF(OR(AK12&lt;21, AI$3=4), 0, IF(AI$4=1, 'Vstupní hodnoty'!P$6, IF(Model!AI$4=2, 'Vstupní hodnoty'!P$5, IF(Model!AI$4=3, 'Vstupní hodnoty'!P$4, 0))))</f>
        <v>20800</v>
      </c>
      <c r="AP12">
        <f>IF($AI$7=1, 'Vstupní hodnoty'!J$4*(2/3)/30*Model!AK12, 0)</f>
        <v>0</v>
      </c>
      <c r="AQ12">
        <f>IF(Model!$AI$5&gt;12,'Vstupní hodnoty'!$H$8*Model!AK12,IF(Model!$AI$5&gt;9,'Vstupní hodnoty'!$H$7*Model!AK12,IF(Model!$AI$5&gt;6,'Vstupní hodnoty'!$H$6*Model!AK12,IF(Model!$AI$5&gt;3,'Vstupní hodnoty'!$H$5*Model!AK12,IF(Model!$AI$5&gt;1,'Vstupní hodnoty'!$H$4*Model!AK12,0)))))</f>
        <v>4883</v>
      </c>
      <c r="AR12" s="5">
        <f>AM12+AN12+AO12+AL12*'Vstupní hodnoty'!L$4+AQ12*'Vstupní hodnoty'!L$4+AP12*'Vstupní hodnoty'!L$4</f>
        <v>77331.483333333337</v>
      </c>
      <c r="AS12" s="5">
        <f t="shared" si="7"/>
        <v>4070.0780701754388</v>
      </c>
      <c r="AX12" s="13">
        <v>19</v>
      </c>
      <c r="AY12" s="5">
        <f>INDEX('Vstupní hodnoty'!$A$4:$A$15, MATCH(Model!$AV$2,'Vstupní hodnoty'!$B$4:$B$15,0))/30*(AX12+1*AX12/7)</f>
        <v>25984.761904761908</v>
      </c>
      <c r="AZ12">
        <f t="shared" si="8"/>
        <v>0</v>
      </c>
      <c r="BA12">
        <f t="shared" si="9"/>
        <v>24000</v>
      </c>
      <c r="BB12" s="5">
        <f>IF(OR(AV$3=4,AV$4=4),0,'Roční bonus alt 2'!D11)+IF(OR(AX12&lt;21,AV$3=4,AV$4=4),0,IF(AV$3&lt;2,'Vstupní hodnoty'!O$6*'Vstupní hodnoty'!$A$17*(Model!AX12-20),IF(Model!AV$3&lt;3,'Vstupní hodnoty'!O$5*'Vstupní hodnoty'!$A$17*(Model!AX12-20),IF(Model!AV$3&lt;4,'Vstupní hodnoty'!O$4*'Vstupní hodnoty'!$A$17*(Model!AX12-20),0))))+IF(OR(AX12&lt;21,AV$3=4,AV$4=4),0,IF(AV$4=1,'Vstupní hodnoty'!P$6,IF(Model!AV$4=2,'Vstupní hodnoty'!P$5,IF(Model!AV$4=3,'Vstupní hodnoty'!P$4,0))))</f>
        <v>16640</v>
      </c>
      <c r="BC12">
        <f>IF($AV$7=1, 'Vstupní hodnoty'!J$4*(2/3)/30*Model!AX12, 0)</f>
        <v>0</v>
      </c>
      <c r="BD12">
        <f>IF(Model!$AV$5&gt;12,'Vstupní hodnoty'!$Q$8*Model!AX12,IF(Model!$AV$5&gt;9,'Vstupní hodnoty'!$Q$7*Model!AX12,IF(Model!$AV$5&gt;6,'Vstupní hodnoty'!$Q$6*Model!AX12,IF(Model!$AV$5&gt;3,'Vstupní hodnoty'!$Q$5*Model!AX12,IF(Model!$AV$5&gt;1,'Vstupní hodnoty'!$Q$4*Model!AX12,0)))))</f>
        <v>5928</v>
      </c>
      <c r="BE12" s="5">
        <f>AZ12+BA12+BB12+AY12*'Vstupní hodnoty'!L$4+BD12*'Vstupní hodnoty'!L$4+BC12*'Vstupní hodnoty'!L$4</f>
        <v>67765.847619047621</v>
      </c>
      <c r="BF12" s="5">
        <f t="shared" si="10"/>
        <v>3566.6235588972431</v>
      </c>
    </row>
    <row r="13" spans="1:58" x14ac:dyDescent="0.2">
      <c r="D13" s="13">
        <v>20</v>
      </c>
      <c r="E13" s="5">
        <f>INDEX('Vstupní hodnoty'!$A$4:$A$15, MATCH(Model!$B$2,'Vstupní hodnoty'!$B$4:$B$15,0))/30*(D13+1*D13/7)</f>
        <v>27352.380952380954</v>
      </c>
      <c r="F13">
        <f t="shared" si="0"/>
        <v>0</v>
      </c>
      <c r="G13">
        <f t="shared" si="11"/>
        <v>24000</v>
      </c>
      <c r="H13">
        <f>IF(D13&lt;14, 0, IF(AND(D13&gt;20,$B$4&lt;3,$B$3&lt;2), 'Vstupní hodnoty'!K$6, IF(AND(D13&gt;20, $B$4&lt;3, $B$3&lt;4), 'Vstupní hodnoty'!$K$5, 'Vstupní hodnoty'!$K$4)))</f>
        <v>18000</v>
      </c>
      <c r="I13">
        <f>IF($B$7=1, 'Vstupní hodnoty'!J$4*(2/3)/30*Model!D13, 0)</f>
        <v>0</v>
      </c>
      <c r="J13">
        <f>IF(Model!$B$5&gt;12,'Vstupní hodnoty'!$H$8*Model!D13,IF(Model!$B$5&gt;9,'Vstupní hodnoty'!$H$7*Model!D13,IF(Model!$B$5&gt;6,'Vstupní hodnoty'!$H$6*Model!D13,IF(Model!$B$5&gt;3,'Vstupní hodnoty'!$H$5*Model!D13,IF(Model!$B$5&gt;1,'Vstupní hodnoty'!$H$4*Model!D13,0)))))</f>
        <v>3420</v>
      </c>
      <c r="K13" s="5">
        <f>F13+G13+H13+E13*'Vstupní hodnoty'!L$4+J13*'Vstupní hodnoty'!L$4+I13*'Vstupní hodnoty'!L$4</f>
        <v>68156.523809523816</v>
      </c>
      <c r="L13" s="5">
        <f t="shared" si="1"/>
        <v>3407.8261904761907</v>
      </c>
      <c r="X13" s="13">
        <v>20</v>
      </c>
      <c r="Y13" s="5">
        <f>INDEX('Vstupní hodnoty'!$A$4:$A$15, MATCH(Model!$V$2,'Vstupní hodnoty'!$B$4:$B$15,0))/30*(X13+1*X13/7)</f>
        <v>35146.666666666672</v>
      </c>
      <c r="Z13">
        <f t="shared" si="2"/>
        <v>0</v>
      </c>
      <c r="AA13">
        <f t="shared" si="3"/>
        <v>24000</v>
      </c>
      <c r="AB13">
        <f>IF(X13&lt;14, 0, IF(AND(X13&gt;20,$V$4&lt;3,$V$3&lt;2), 'Vstupní hodnoty'!$I$6, IF(AND(X13&gt;20, $V$4&lt;4, $V$3&lt;4), 'Vstupní hodnoty'!$I$5, 'Vstupní hodnoty'!$I$4)))</f>
        <v>18000</v>
      </c>
      <c r="AC13">
        <f>IF($V$7=1, 'Vstupní hodnoty'!$J$4*(2/3)/30*Model!X13, 0)</f>
        <v>0</v>
      </c>
      <c r="AD13">
        <f>IF(Model!$V$5&gt;12,'Vstupní hodnoty'!$H$8*Model!X13,IF(Model!$V$5&gt;9,'Vstupní hodnoty'!$H$7*Model!X13,IF(Model!$V$5&gt;6,'Vstupní hodnoty'!$H$6*Model!X13,IF(Model!$V$5&gt;3,'Vstupní hodnoty'!$H$5*Model!X13,IF(Model!$V$5&gt;1,'Vstupní hodnoty'!$H$4*Model!X13,0)))))</f>
        <v>5140</v>
      </c>
      <c r="AE13" s="5">
        <f>Z13+AA13+AB13+Y13*'Vstupní hodnoty'!L$4+AD13*'Vstupní hodnoty'!L$4+AC13*'Vstupní hodnoty'!L$4</f>
        <v>76243.666666666672</v>
      </c>
      <c r="AF13" s="5">
        <f t="shared" si="4"/>
        <v>3812.1833333333334</v>
      </c>
      <c r="AK13" s="13">
        <v>20</v>
      </c>
      <c r="AL13" s="5">
        <f>INDEX('Vstupní hodnoty'!$A$4:$A$15, MATCH(Model!$AI$2,'Vstupní hodnoty'!$B$4:$B$15,0))/30*(AK13+1*AK13/7)</f>
        <v>35146.666666666672</v>
      </c>
      <c r="AM13">
        <f t="shared" si="5"/>
        <v>0</v>
      </c>
      <c r="AN13">
        <f t="shared" si="6"/>
        <v>24000</v>
      </c>
      <c r="AO13">
        <f>IF(OR(AK13&lt;14, AI$3=4, AI$4=4),0,IF(AK13&lt;21,'Vstupní hodnoty'!N$4,IF(AK13&lt;28,'Vstupní hodnoty'!N$5,IF(AK13&lt;35,'Vstupní hodnoty'!N$6,'Vstupní hodnoty'!N$6))))+IF(OR(AK13&lt;21, AI$4=4),0,IF(AI$3&lt;2,'Vstupní hodnoty'!O$6*'Vstupní hodnoty'!$A$17*(AK13-20),IF(Model!AI$3&lt;3,'Vstupní hodnoty'!O$5*'Vstupní hodnoty'!$A$17*(AK13-20),IF(Model!AI$3&lt;4,'Vstupní hodnoty'!O$4*'Vstupní hodnoty'!$A$17*(AK13-20),0))))+IF(OR(AK13&lt;21, AI$3=4), 0, IF(AI$4=1, 'Vstupní hodnoty'!P$6, IF(Model!AI$4=2, 'Vstupní hodnoty'!P$5, IF(Model!AI$4=3, 'Vstupní hodnoty'!P$4, 0))))</f>
        <v>20800</v>
      </c>
      <c r="AP13">
        <f>IF($AI$7=1, 'Vstupní hodnoty'!J$4*(2/3)/30*Model!AK13, 0)</f>
        <v>0</v>
      </c>
      <c r="AQ13">
        <f>IF(Model!$AI$5&gt;12,'Vstupní hodnoty'!$H$8*Model!AK13,IF(Model!$AI$5&gt;9,'Vstupní hodnoty'!$H$7*Model!AK13,IF(Model!$AI$5&gt;6,'Vstupní hodnoty'!$H$6*Model!AK13,IF(Model!$AI$5&gt;3,'Vstupní hodnoty'!$H$5*Model!AK13,IF(Model!$AI$5&gt;1,'Vstupní hodnoty'!$H$4*Model!AK13,0)))))</f>
        <v>5140</v>
      </c>
      <c r="AR13" s="5">
        <f>AM13+AN13+AO13+AL13*'Vstupní hodnoty'!L$4+AQ13*'Vstupní hodnoty'!L$4+AP13*'Vstupní hodnoty'!L$4</f>
        <v>79043.666666666672</v>
      </c>
      <c r="AS13" s="5">
        <f t="shared" si="7"/>
        <v>3952.1833333333334</v>
      </c>
      <c r="AX13" s="13">
        <v>20</v>
      </c>
      <c r="AY13" s="5">
        <f>INDEX('Vstupní hodnoty'!$A$4:$A$15, MATCH(Model!$AV$2,'Vstupní hodnoty'!$B$4:$B$15,0))/30*(AX13+1*AX13/7)</f>
        <v>27352.380952380954</v>
      </c>
      <c r="AZ13">
        <f t="shared" si="8"/>
        <v>0</v>
      </c>
      <c r="BA13">
        <f t="shared" si="9"/>
        <v>24000</v>
      </c>
      <c r="BB13" s="5">
        <f>IF(OR(AV$3=4,AV$4=4),0,'Roční bonus alt 2'!D12)+IF(OR(AX13&lt;21,AV$3=4,AV$4=4),0,IF(AV$3&lt;2,'Vstupní hodnoty'!O$6*'Vstupní hodnoty'!$A$17*(Model!AX13-20),IF(Model!AV$3&lt;3,'Vstupní hodnoty'!O$5*'Vstupní hodnoty'!$A$17*(Model!AX13-20),IF(Model!AV$3&lt;4,'Vstupní hodnoty'!O$4*'Vstupní hodnoty'!$A$17*(Model!AX13-20),0))))+IF(OR(AX13&lt;21,AV$3=4,AV$4=4),0,IF(AV$4=1,'Vstupní hodnoty'!P$6,IF(Model!AV$4=2,'Vstupní hodnoty'!P$5,IF(Model!AV$4=3,'Vstupní hodnoty'!P$4,0))))</f>
        <v>18026.666666666664</v>
      </c>
      <c r="BC13">
        <f>IF($AV$7=1, 'Vstupní hodnoty'!J$4*(2/3)/30*Model!AX13, 0)</f>
        <v>0</v>
      </c>
      <c r="BD13">
        <f>IF(Model!$AV$5&gt;12,'Vstupní hodnoty'!$Q$8*Model!AX13,IF(Model!$AV$5&gt;9,'Vstupní hodnoty'!$Q$7*Model!AX13,IF(Model!$AV$5&gt;6,'Vstupní hodnoty'!$Q$6*Model!AX13,IF(Model!$AV$5&gt;3,'Vstupní hodnoty'!$Q$5*Model!AX13,IF(Model!$AV$5&gt;1,'Vstupní hodnoty'!$Q$4*Model!AX13,0)))))</f>
        <v>6240</v>
      </c>
      <c r="BE13" s="5">
        <f>AZ13+BA13+BB13+AY13*'Vstupní hodnoty'!L$4+BD13*'Vstupní hodnoty'!L$4+BC13*'Vstupní hodnoty'!L$4</f>
        <v>70580.190476190473</v>
      </c>
      <c r="BF13" s="5">
        <f t="shared" si="10"/>
        <v>3529.0095238095237</v>
      </c>
    </row>
    <row r="14" spans="1:58" x14ac:dyDescent="0.2">
      <c r="D14" s="14">
        <v>21</v>
      </c>
      <c r="E14" s="5">
        <f>INDEX('Vstupní hodnoty'!$A$4:$A$15, MATCH(Model!$B$2,'Vstupní hodnoty'!$B$4:$B$15,0))/30*(D14+1*D14/7)</f>
        <v>28720</v>
      </c>
      <c r="F14">
        <f t="shared" si="0"/>
        <v>0</v>
      </c>
      <c r="G14">
        <f t="shared" si="11"/>
        <v>24000</v>
      </c>
      <c r="H14">
        <f>IF(D14&lt;14, 0, IF(AND(D14&gt;20,$B$4&lt;3,$B$3&lt;2), 'Vstupní hodnoty'!K$6, IF(AND(D14&gt;20, $B$4&lt;3, $B$3&lt;4), 'Vstupní hodnoty'!$K$5, 'Vstupní hodnoty'!$K$4)))</f>
        <v>27000</v>
      </c>
      <c r="I14">
        <f>IF($B$7=1, 'Vstupní hodnoty'!J$4*(2/3)/30*Model!D14, 0)</f>
        <v>0</v>
      </c>
      <c r="J14">
        <f>IF(Model!$B$5&gt;12,'Vstupní hodnoty'!$H$8*Model!D14,IF(Model!$B$5&gt;9,'Vstupní hodnoty'!$H$7*Model!D14,IF(Model!$B$5&gt;6,'Vstupní hodnoty'!$H$6*Model!D14,IF(Model!$B$5&gt;3,'Vstupní hodnoty'!$H$5*Model!D14,IF(Model!$B$5&gt;1,'Vstupní hodnoty'!$H$4*Model!D14,0)))))</f>
        <v>3591</v>
      </c>
      <c r="K14" s="5">
        <f>F14+G14+H14+E14*'Vstupní hodnoty'!L$4+J14*'Vstupní hodnoty'!L$4+I14*'Vstupní hodnoty'!L$4</f>
        <v>78464.350000000006</v>
      </c>
      <c r="L14" s="5">
        <f t="shared" si="1"/>
        <v>3736.3976190476192</v>
      </c>
      <c r="X14" s="14">
        <v>21</v>
      </c>
      <c r="Y14" s="5">
        <f>INDEX('Vstupní hodnoty'!$A$4:$A$15, MATCH(Model!$V$2,'Vstupní hodnoty'!$B$4:$B$15,0))/30*(X14+1*X14/7)</f>
        <v>36904</v>
      </c>
      <c r="Z14">
        <f t="shared" si="2"/>
        <v>0</v>
      </c>
      <c r="AA14">
        <f t="shared" si="3"/>
        <v>24000</v>
      </c>
      <c r="AB14">
        <f>IF(X14&lt;14, 0, IF(AND(X14&gt;20,$V$4&lt;3,$V$3&lt;2), 'Vstupní hodnoty'!$I$6, IF(AND(X14&gt;20, $V$4&lt;4, $V$3&lt;4), 'Vstupní hodnoty'!$I$5, 'Vstupní hodnoty'!$I$4)))</f>
        <v>27000</v>
      </c>
      <c r="AC14">
        <f>IF($V$7=1, 'Vstupní hodnoty'!$J$4*(2/3)/30*Model!X14, 0)</f>
        <v>0</v>
      </c>
      <c r="AD14">
        <f>IF(Model!$V$5&gt;12,'Vstupní hodnoty'!$H$8*Model!X14,IF(Model!$V$5&gt;9,'Vstupní hodnoty'!$H$7*Model!X14,IF(Model!$V$5&gt;6,'Vstupní hodnoty'!$H$6*Model!X14,IF(Model!$V$5&gt;3,'Vstupní hodnoty'!$H$5*Model!X14,IF(Model!$V$5&gt;1,'Vstupní hodnoty'!$H$4*Model!X14,0)))))</f>
        <v>5397</v>
      </c>
      <c r="AE14" s="5">
        <f>Z14+AA14+AB14+Y14*'Vstupní hodnoty'!L$4+AD14*'Vstupní hodnoty'!L$4+AC14*'Vstupní hodnoty'!L$4</f>
        <v>86955.849999999991</v>
      </c>
      <c r="AF14" s="5">
        <f t="shared" si="4"/>
        <v>4140.7547619047618</v>
      </c>
      <c r="AK14" s="14">
        <v>21</v>
      </c>
      <c r="AL14" s="5">
        <f>INDEX('Vstupní hodnoty'!$A$4:$A$15, MATCH(Model!$AI$2,'Vstupní hodnoty'!$B$4:$B$15,0))/30*(AK14+1*AK14/7)</f>
        <v>36904</v>
      </c>
      <c r="AM14">
        <f t="shared" si="5"/>
        <v>0</v>
      </c>
      <c r="AN14">
        <f t="shared" si="6"/>
        <v>24000</v>
      </c>
      <c r="AO14">
        <f>IF(OR(AK14&lt;14, AI$3=4, AI$4=4),0,IF(AK14&lt;21,'Vstupní hodnoty'!N$4,IF(AK14&lt;28,'Vstupní hodnoty'!N$5,IF(AK14&lt;35,'Vstupní hodnoty'!N$6,'Vstupní hodnoty'!N$6))))+IF(OR(AK14&lt;21, AI$4=4),0,IF(AI$3&lt;2,'Vstupní hodnoty'!O$6*'Vstupní hodnoty'!$A$17*(AK14-20),IF(Model!AI$3&lt;3,'Vstupní hodnoty'!O$5*'Vstupní hodnoty'!$A$17*(AK14-20),IF(Model!AI$3&lt;4,'Vstupní hodnoty'!O$4*'Vstupní hodnoty'!$A$17*(AK14-20),0))))+IF(OR(AK14&lt;21, AI$3=4), 0, IF(AI$4=1, 'Vstupní hodnoty'!P$6, IF(Model!AI$4=2, 'Vstupní hodnoty'!P$5, IF(Model!AI$4=3, 'Vstupní hodnoty'!P$4, 0))))</f>
        <v>33488</v>
      </c>
      <c r="AP14">
        <f>IF($AI$7=1, 'Vstupní hodnoty'!J$4*(2/3)/30*Model!AK14, 0)</f>
        <v>0</v>
      </c>
      <c r="AQ14">
        <f>IF(Model!$AI$5&gt;12,'Vstupní hodnoty'!$H$8*Model!AK14,IF(Model!$AI$5&gt;9,'Vstupní hodnoty'!$H$7*Model!AK14,IF(Model!$AI$5&gt;6,'Vstupní hodnoty'!$H$6*Model!AK14,IF(Model!$AI$5&gt;3,'Vstupní hodnoty'!$H$5*Model!AK14,IF(Model!$AI$5&gt;1,'Vstupní hodnoty'!$H$4*Model!AK14,0)))))</f>
        <v>5397</v>
      </c>
      <c r="AR14" s="5">
        <f>AM14+AN14+AO14+AL14*'Vstupní hodnoty'!L$4+AQ14*'Vstupní hodnoty'!L$4+AP14*'Vstupní hodnoty'!L$4</f>
        <v>93443.849999999991</v>
      </c>
      <c r="AS14" s="5">
        <f t="shared" si="7"/>
        <v>4449.7071428571426</v>
      </c>
      <c r="AX14" s="14">
        <v>21</v>
      </c>
      <c r="AY14" s="5">
        <f>INDEX('Vstupní hodnoty'!$A$4:$A$15, MATCH(Model!$AV$2,'Vstupní hodnoty'!$B$4:$B$15,0))/30*(AX14+1*AX14/7)</f>
        <v>28720</v>
      </c>
      <c r="AZ14">
        <f t="shared" si="8"/>
        <v>0</v>
      </c>
      <c r="BA14">
        <f t="shared" si="9"/>
        <v>24000</v>
      </c>
      <c r="BB14" s="5">
        <f>IF(OR(AV$3=4,AV$4=4),0,'Roční bonus alt 2'!D13)+IF(OR(AX14&lt;21,AV$3=4,AV$4=4),0,IF(AV$3&lt;2,'Vstupní hodnoty'!O$6*'Vstupní hodnoty'!$A$17*(Model!AX14-20),IF(Model!AV$3&lt;3,'Vstupní hodnoty'!O$5*'Vstupní hodnoty'!$A$17*(Model!AX14-20),IF(Model!AV$3&lt;4,'Vstupní hodnoty'!O$4*'Vstupní hodnoty'!$A$17*(Model!AX14-20),0))))+IF(OR(AX14&lt;21,AV$3=4,AV$4=4),0,IF(AV$4=1,'Vstupní hodnoty'!P$6,IF(Model!AV$4=2,'Vstupní hodnoty'!P$5,IF(Model!AV$4=3,'Vstupní hodnoty'!P$4,0))))</f>
        <v>21701.333333333336</v>
      </c>
      <c r="BC14">
        <f>IF($AV$7=1, 'Vstupní hodnoty'!J$4*(2/3)/30*Model!AX14, 0)</f>
        <v>0</v>
      </c>
      <c r="BD14">
        <f>IF(Model!$AV$5&gt;12,'Vstupní hodnoty'!$Q$8*Model!AX14,IF(Model!$AV$5&gt;9,'Vstupní hodnoty'!$Q$7*Model!AX14,IF(Model!$AV$5&gt;6,'Vstupní hodnoty'!$Q$6*Model!AX14,IF(Model!$AV$5&gt;3,'Vstupní hodnoty'!$Q$5*Model!AX14,IF(Model!$AV$5&gt;1,'Vstupní hodnoty'!$Q$4*Model!AX14,0)))))</f>
        <v>6552</v>
      </c>
      <c r="BE14" s="5">
        <f>AZ14+BA14+BB14+AY14*'Vstupní hodnoty'!L$4+BD14*'Vstupní hodnoty'!L$4+BC14*'Vstupní hodnoty'!L$4</f>
        <v>75682.53333333334</v>
      </c>
      <c r="BF14" s="5">
        <f t="shared" si="10"/>
        <v>3603.9301587301588</v>
      </c>
    </row>
    <row r="15" spans="1:58" x14ac:dyDescent="0.2">
      <c r="D15" s="14">
        <v>22</v>
      </c>
      <c r="E15" s="5">
        <f>INDEX('Vstupní hodnoty'!$A$4:$A$15, MATCH(Model!$B$2,'Vstupní hodnoty'!$B$4:$B$15,0))/30*(D15+1*D15/7)</f>
        <v>30087.61904761905</v>
      </c>
      <c r="F15">
        <f t="shared" si="0"/>
        <v>0</v>
      </c>
      <c r="G15">
        <f t="shared" si="11"/>
        <v>24000</v>
      </c>
      <c r="H15">
        <f>IF(D15&lt;14, 0, IF(AND(D15&gt;20,$B$4&lt;3,$B$3&lt;2), 'Vstupní hodnoty'!K$6, IF(AND(D15&gt;20, $B$4&lt;3, $B$3&lt;4), 'Vstupní hodnoty'!$K$5, 'Vstupní hodnoty'!$K$4)))</f>
        <v>27000</v>
      </c>
      <c r="I15">
        <f>IF($B$7=1, 'Vstupní hodnoty'!J$4*(2/3)/30*Model!D15, 0)</f>
        <v>0</v>
      </c>
      <c r="J15">
        <f>IF(Model!$B$5&gt;12,'Vstupní hodnoty'!$H$8*Model!D15,IF(Model!$B$5&gt;9,'Vstupní hodnoty'!$H$7*Model!D15,IF(Model!$B$5&gt;6,'Vstupní hodnoty'!$H$6*Model!D15,IF(Model!$B$5&gt;3,'Vstupní hodnoty'!$H$5*Model!D15,IF(Model!$B$5&gt;1,'Vstupní hodnoty'!$H$4*Model!D15,0)))))</f>
        <v>3762</v>
      </c>
      <c r="K15" s="5">
        <f>F15+G15+H15+E15*'Vstupní hodnoty'!L$4+J15*'Vstupní hodnoty'!L$4+I15*'Vstupní hodnoty'!L$4</f>
        <v>79772.176190476181</v>
      </c>
      <c r="L15" s="5">
        <f t="shared" si="1"/>
        <v>3626.0080086580083</v>
      </c>
      <c r="X15" s="14">
        <v>22</v>
      </c>
      <c r="Y15" s="5">
        <f>INDEX('Vstupní hodnoty'!$A$4:$A$15, MATCH(Model!$V$2,'Vstupní hodnoty'!$B$4:$B$15,0))/30*(X15+1*X15/7)</f>
        <v>38661.333333333336</v>
      </c>
      <c r="Z15">
        <f t="shared" si="2"/>
        <v>0</v>
      </c>
      <c r="AA15">
        <f t="shared" si="3"/>
        <v>24000</v>
      </c>
      <c r="AB15">
        <f>IF(X15&lt;14, 0, IF(AND(X15&gt;20,$V$4&lt;3,$V$3&lt;2), 'Vstupní hodnoty'!$I$6, IF(AND(X15&gt;20, $V$4&lt;4, $V$3&lt;4), 'Vstupní hodnoty'!$I$5, 'Vstupní hodnoty'!$I$4)))</f>
        <v>27000</v>
      </c>
      <c r="AC15">
        <f>IF($V$7=1, 'Vstupní hodnoty'!$J$4*(2/3)/30*Model!X15, 0)</f>
        <v>0</v>
      </c>
      <c r="AD15">
        <f>IF(Model!$V$5&gt;12,'Vstupní hodnoty'!$H$8*Model!X15,IF(Model!$V$5&gt;9,'Vstupní hodnoty'!$H$7*Model!X15,IF(Model!$V$5&gt;6,'Vstupní hodnoty'!$H$6*Model!X15,IF(Model!$V$5&gt;3,'Vstupní hodnoty'!$H$5*Model!X15,IF(Model!$V$5&gt;1,'Vstupní hodnoty'!$H$4*Model!X15,0)))))</f>
        <v>5654</v>
      </c>
      <c r="AE15" s="5">
        <f>Z15+AA15+AB15+Y15*'Vstupní hodnoty'!L$4+AD15*'Vstupní hodnoty'!L$4+AC15*'Vstupní hodnoty'!L$4</f>
        <v>88668.033333333326</v>
      </c>
      <c r="AF15" s="5">
        <f t="shared" si="4"/>
        <v>4030.365151515151</v>
      </c>
      <c r="AK15" s="14">
        <v>22</v>
      </c>
      <c r="AL15" s="5">
        <f>INDEX('Vstupní hodnoty'!$A$4:$A$15, MATCH(Model!$AI$2,'Vstupní hodnoty'!$B$4:$B$15,0))/30*(AK15+1*AK15/7)</f>
        <v>38661.333333333336</v>
      </c>
      <c r="AM15">
        <f t="shared" si="5"/>
        <v>0</v>
      </c>
      <c r="AN15">
        <f t="shared" si="6"/>
        <v>24000</v>
      </c>
      <c r="AO15">
        <f>IF(OR(AK15&lt;14, AI$3=4, AI$4=4),0,IF(AK15&lt;21,'Vstupní hodnoty'!N$4,IF(AK15&lt;28,'Vstupní hodnoty'!N$5,IF(AK15&lt;35,'Vstupní hodnoty'!N$6,'Vstupní hodnoty'!N$6))))+IF(OR(AK15&lt;21, AI$4=4),0,IF(AI$3&lt;2,'Vstupní hodnoty'!O$6*'Vstupní hodnoty'!$A$17*(AK15-20),IF(Model!AI$3&lt;3,'Vstupní hodnoty'!O$5*'Vstupní hodnoty'!$A$17*(AK15-20),IF(Model!AI$3&lt;4,'Vstupní hodnoty'!O$4*'Vstupní hodnoty'!$A$17*(AK15-20),0))))+IF(OR(AK15&lt;21, AI$3=4), 0, IF(AI$4=1, 'Vstupní hodnoty'!P$6, IF(Model!AI$4=2, 'Vstupní hodnoty'!P$5, IF(Model!AI$4=3, 'Vstupní hodnoty'!P$4, 0))))</f>
        <v>33696</v>
      </c>
      <c r="AP15">
        <f>IF($AI$7=1, 'Vstupní hodnoty'!J$4*(2/3)/30*Model!AK15, 0)</f>
        <v>0</v>
      </c>
      <c r="AQ15">
        <f>IF(Model!$AI$5&gt;12,'Vstupní hodnoty'!$H$8*Model!AK15,IF(Model!$AI$5&gt;9,'Vstupní hodnoty'!$H$7*Model!AK15,IF(Model!$AI$5&gt;6,'Vstupní hodnoty'!$H$6*Model!AK15,IF(Model!$AI$5&gt;3,'Vstupní hodnoty'!$H$5*Model!AK15,IF(Model!$AI$5&gt;1,'Vstupní hodnoty'!$H$4*Model!AK15,0)))))</f>
        <v>5654</v>
      </c>
      <c r="AR15" s="5">
        <f>AM15+AN15+AO15+AL15*'Vstupní hodnoty'!L$4+AQ15*'Vstupní hodnoty'!L$4+AP15*'Vstupní hodnoty'!L$4</f>
        <v>95364.033333333326</v>
      </c>
      <c r="AS15" s="5">
        <f t="shared" si="7"/>
        <v>4334.7287878787874</v>
      </c>
      <c r="AX15" s="14">
        <v>22</v>
      </c>
      <c r="AY15" s="5">
        <f>INDEX('Vstupní hodnoty'!$A$4:$A$15, MATCH(Model!$AV$2,'Vstupní hodnoty'!$B$4:$B$15,0))/30*(AX15+1*AX15/7)</f>
        <v>30087.61904761905</v>
      </c>
      <c r="AZ15">
        <f t="shared" si="8"/>
        <v>0</v>
      </c>
      <c r="BA15">
        <f t="shared" si="9"/>
        <v>24000</v>
      </c>
      <c r="BB15" s="5">
        <f>IF(OR(AV$3=4,AV$4=4),0,'Roční bonus alt 2'!D14)+IF(OR(AX15&lt;21,AV$3=4,AV$4=4),0,IF(AV$3&lt;2,'Vstupní hodnoty'!O$6*'Vstupní hodnoty'!$A$17*(Model!AX15-20),IF(Model!AV$3&lt;3,'Vstupní hodnoty'!O$5*'Vstupní hodnoty'!$A$17*(Model!AX15-20),IF(Model!AV$3&lt;4,'Vstupní hodnoty'!O$4*'Vstupní hodnoty'!$A$17*(Model!AX15-20),0))))+IF(OR(AX15&lt;21,AV$3=4,AV$4=4),0,IF(AV$4=1,'Vstupní hodnoty'!P$6,IF(Model!AV$4=2,'Vstupní hodnoty'!P$5,IF(Model!AV$4=3,'Vstupní hodnoty'!P$4,0))))</f>
        <v>23296</v>
      </c>
      <c r="BC15">
        <f>IF($AV$7=1, 'Vstupní hodnoty'!J$4*(2/3)/30*Model!AX15, 0)</f>
        <v>0</v>
      </c>
      <c r="BD15">
        <f>IF(Model!$AV$5&gt;12,'Vstupní hodnoty'!$Q$8*Model!AX15,IF(Model!$AV$5&gt;9,'Vstupní hodnoty'!$Q$7*Model!AX15,IF(Model!$AV$5&gt;6,'Vstupní hodnoty'!$Q$6*Model!AX15,IF(Model!$AV$5&gt;3,'Vstupní hodnoty'!$Q$5*Model!AX15,IF(Model!$AV$5&gt;1,'Vstupní hodnoty'!$Q$4*Model!AX15,0)))))</f>
        <v>6864</v>
      </c>
      <c r="BE15" s="5">
        <f>AZ15+BA15+BB15+AY15*'Vstupní hodnoty'!L$4+BD15*'Vstupní hodnoty'!L$4+BC15*'Vstupní hodnoty'!L$4</f>
        <v>78704.876190476178</v>
      </c>
      <c r="BF15" s="5">
        <f t="shared" si="10"/>
        <v>3577.4943722943717</v>
      </c>
    </row>
    <row r="16" spans="1:58" x14ac:dyDescent="0.2">
      <c r="D16" s="14">
        <v>23</v>
      </c>
      <c r="E16" s="5">
        <f>INDEX('Vstupní hodnoty'!$A$4:$A$15, MATCH(Model!$B$2,'Vstupní hodnoty'!$B$4:$B$15,0))/30*(D16+1*D16/7)</f>
        <v>31455.238095238095</v>
      </c>
      <c r="F16">
        <f t="shared" si="0"/>
        <v>0</v>
      </c>
      <c r="G16">
        <f t="shared" si="11"/>
        <v>24000</v>
      </c>
      <c r="H16">
        <f>IF(D16&lt;14, 0, IF(AND(D16&gt;20,$B$4&lt;3,$B$3&lt;2), 'Vstupní hodnoty'!K$6, IF(AND(D16&gt;20, $B$4&lt;3, $B$3&lt;4), 'Vstupní hodnoty'!$K$5, 'Vstupní hodnoty'!$K$4)))</f>
        <v>27000</v>
      </c>
      <c r="I16">
        <f>IF($B$7=1, 'Vstupní hodnoty'!J$4*(2/3)/30*Model!D16, 0)</f>
        <v>0</v>
      </c>
      <c r="J16">
        <f>IF(Model!$B$5&gt;12,'Vstupní hodnoty'!$H$8*Model!D16,IF(Model!$B$5&gt;9,'Vstupní hodnoty'!$H$7*Model!D16,IF(Model!$B$5&gt;6,'Vstupní hodnoty'!$H$6*Model!D16,IF(Model!$B$5&gt;3,'Vstupní hodnoty'!$H$5*Model!D16,IF(Model!$B$5&gt;1,'Vstupní hodnoty'!$H$4*Model!D16,0)))))</f>
        <v>3933</v>
      </c>
      <c r="K16" s="5">
        <f>F16+G16+H16+E16*'Vstupní hodnoty'!L$4+J16*'Vstupní hodnoty'!L$4+I16*'Vstupní hodnoty'!L$4</f>
        <v>81080.002380952385</v>
      </c>
      <c r="L16" s="5">
        <f t="shared" si="1"/>
        <v>3525.2174948240167</v>
      </c>
      <c r="X16" s="14">
        <v>23</v>
      </c>
      <c r="Y16" s="5">
        <f>INDEX('Vstupní hodnoty'!$A$4:$A$15, MATCH(Model!$V$2,'Vstupní hodnoty'!$B$4:$B$15,0))/30*(X16+1*X16/7)</f>
        <v>40418.666666666664</v>
      </c>
      <c r="Z16">
        <f t="shared" si="2"/>
        <v>0</v>
      </c>
      <c r="AA16">
        <f t="shared" si="3"/>
        <v>24000</v>
      </c>
      <c r="AB16">
        <f>IF(X16&lt;14, 0, IF(AND(X16&gt;20,$V$4&lt;3,$V$3&lt;2), 'Vstupní hodnoty'!$I$6, IF(AND(X16&gt;20, $V$4&lt;4, $V$3&lt;4), 'Vstupní hodnoty'!$I$5, 'Vstupní hodnoty'!$I$4)))</f>
        <v>27000</v>
      </c>
      <c r="AC16">
        <f>IF($V$7=1, 'Vstupní hodnoty'!$J$4*(2/3)/30*Model!X16, 0)</f>
        <v>0</v>
      </c>
      <c r="AD16">
        <f>IF(Model!$V$5&gt;12,'Vstupní hodnoty'!$H$8*Model!X16,IF(Model!$V$5&gt;9,'Vstupní hodnoty'!$H$7*Model!X16,IF(Model!$V$5&gt;6,'Vstupní hodnoty'!$H$6*Model!X16,IF(Model!$V$5&gt;3,'Vstupní hodnoty'!$H$5*Model!X16,IF(Model!$V$5&gt;1,'Vstupní hodnoty'!$H$4*Model!X16,0)))))</f>
        <v>5911</v>
      </c>
      <c r="AE16" s="5">
        <f>Z16+AA16+AB16+Y16*'Vstupní hodnoty'!L$4+AD16*'Vstupní hodnoty'!L$4+AC16*'Vstupní hodnoty'!L$4</f>
        <v>90380.216666666674</v>
      </c>
      <c r="AF16" s="5">
        <f t="shared" si="4"/>
        <v>3929.5746376811599</v>
      </c>
      <c r="AK16" s="14">
        <v>23</v>
      </c>
      <c r="AL16" s="5">
        <f>INDEX('Vstupní hodnoty'!$A$4:$A$15, MATCH(Model!$AI$2,'Vstupní hodnoty'!$B$4:$B$15,0))/30*(AK16+1*AK16/7)</f>
        <v>40418.666666666664</v>
      </c>
      <c r="AM16">
        <f t="shared" si="5"/>
        <v>0</v>
      </c>
      <c r="AN16">
        <f t="shared" si="6"/>
        <v>24000</v>
      </c>
      <c r="AO16">
        <f>IF(OR(AK16&lt;14, AI$3=4, AI$4=4),0,IF(AK16&lt;21,'Vstupní hodnoty'!N$4,IF(AK16&lt;28,'Vstupní hodnoty'!N$5,IF(AK16&lt;35,'Vstupní hodnoty'!N$6,'Vstupní hodnoty'!N$6))))+IF(OR(AK16&lt;21, AI$4=4),0,IF(AI$3&lt;2,'Vstupní hodnoty'!O$6*'Vstupní hodnoty'!$A$17*(AK16-20),IF(Model!AI$3&lt;3,'Vstupní hodnoty'!O$5*'Vstupní hodnoty'!$A$17*(AK16-20),IF(Model!AI$3&lt;4,'Vstupní hodnoty'!O$4*'Vstupní hodnoty'!$A$17*(AK16-20),0))))+IF(OR(AK16&lt;21, AI$3=4), 0, IF(AI$4=1, 'Vstupní hodnoty'!P$6, IF(Model!AI$4=2, 'Vstupní hodnoty'!P$5, IF(Model!AI$4=3, 'Vstupní hodnoty'!P$4, 0))))</f>
        <v>33904</v>
      </c>
      <c r="AP16">
        <f>IF($AI$7=1, 'Vstupní hodnoty'!J$4*(2/3)/30*Model!AK16, 0)</f>
        <v>0</v>
      </c>
      <c r="AQ16">
        <f>IF(Model!$AI$5&gt;12,'Vstupní hodnoty'!$H$8*Model!AK16,IF(Model!$AI$5&gt;9,'Vstupní hodnoty'!$H$7*Model!AK16,IF(Model!$AI$5&gt;6,'Vstupní hodnoty'!$H$6*Model!AK16,IF(Model!$AI$5&gt;3,'Vstupní hodnoty'!$H$5*Model!AK16,IF(Model!$AI$5&gt;1,'Vstupní hodnoty'!$H$4*Model!AK16,0)))))</f>
        <v>5911</v>
      </c>
      <c r="AR16" s="5">
        <f>AM16+AN16+AO16+AL16*'Vstupní hodnoty'!L$4+AQ16*'Vstupní hodnoty'!L$4+AP16*'Vstupní hodnoty'!L$4</f>
        <v>97284.216666666674</v>
      </c>
      <c r="AS16" s="5">
        <f t="shared" si="7"/>
        <v>4229.7485507246383</v>
      </c>
      <c r="AX16" s="14">
        <v>23</v>
      </c>
      <c r="AY16" s="5">
        <f>INDEX('Vstupní hodnoty'!$A$4:$A$15, MATCH(Model!$AV$2,'Vstupní hodnoty'!$B$4:$B$15,0))/30*(AX16+1*AX16/7)</f>
        <v>31455.238095238095</v>
      </c>
      <c r="AZ16">
        <f t="shared" si="8"/>
        <v>0</v>
      </c>
      <c r="BA16">
        <f t="shared" si="9"/>
        <v>24000</v>
      </c>
      <c r="BB16" s="5">
        <f>IF(OR(AV$3=4,AV$4=4),0,'Roční bonus alt 2'!D15)+IF(OR(AX16&lt;21,AV$3=4,AV$4=4),0,IF(AV$3&lt;2,'Vstupní hodnoty'!O$6*'Vstupní hodnoty'!$A$17*(Model!AX16-20),IF(Model!AV$3&lt;3,'Vstupní hodnoty'!O$5*'Vstupní hodnoty'!$A$17*(Model!AX16-20),IF(Model!AV$3&lt;4,'Vstupní hodnoty'!O$4*'Vstupní hodnoty'!$A$17*(Model!AX16-20),0))))+IF(OR(AX16&lt;21,AV$3=4,AV$4=4),0,IF(AV$4=1,'Vstupní hodnoty'!P$6,IF(Model!AV$4=2,'Vstupní hodnoty'!P$5,IF(Model!AV$4=3,'Vstupní hodnoty'!P$4,0))))</f>
        <v>24890.666666666664</v>
      </c>
      <c r="BC16">
        <f>IF($AV$7=1, 'Vstupní hodnoty'!J$4*(2/3)/30*Model!AX16, 0)</f>
        <v>0</v>
      </c>
      <c r="BD16">
        <f>IF(Model!$AV$5&gt;12,'Vstupní hodnoty'!$Q$8*Model!AX16,IF(Model!$AV$5&gt;9,'Vstupní hodnoty'!$Q$7*Model!AX16,IF(Model!$AV$5&gt;6,'Vstupní hodnoty'!$Q$6*Model!AX16,IF(Model!$AV$5&gt;3,'Vstupní hodnoty'!$Q$5*Model!AX16,IF(Model!$AV$5&gt;1,'Vstupní hodnoty'!$Q$4*Model!AX16,0)))))</f>
        <v>7176</v>
      </c>
      <c r="BE16" s="5">
        <f>AZ16+BA16+BB16+AY16*'Vstupní hodnoty'!L$4+BD16*'Vstupní hodnoty'!L$4+BC16*'Vstupní hodnoty'!L$4</f>
        <v>81727.219047619059</v>
      </c>
      <c r="BF16" s="5">
        <f t="shared" si="10"/>
        <v>3553.3573498964806</v>
      </c>
    </row>
    <row r="17" spans="4:58" x14ac:dyDescent="0.2">
      <c r="D17" s="14">
        <v>24</v>
      </c>
      <c r="E17" s="5">
        <f>INDEX('Vstupní hodnoty'!$A$4:$A$15, MATCH(Model!$B$2,'Vstupní hodnoty'!$B$4:$B$15,0))/30*(D17+1*D17/7)</f>
        <v>32822.857142857145</v>
      </c>
      <c r="F17">
        <f t="shared" si="0"/>
        <v>0</v>
      </c>
      <c r="G17">
        <f t="shared" si="11"/>
        <v>24000</v>
      </c>
      <c r="H17">
        <f>IF(D17&lt;14, 0, IF(AND(D17&gt;20,$B$4&lt;3,$B$3&lt;2), 'Vstupní hodnoty'!K$6, IF(AND(D17&gt;20, $B$4&lt;3, $B$3&lt;4), 'Vstupní hodnoty'!$K$5, 'Vstupní hodnoty'!$K$4)))</f>
        <v>27000</v>
      </c>
      <c r="I17">
        <f>IF($B$7=1, 'Vstupní hodnoty'!J$4*(2/3)/30*Model!D17, 0)</f>
        <v>0</v>
      </c>
      <c r="J17">
        <f>IF(Model!$B$5&gt;12,'Vstupní hodnoty'!$H$8*Model!D17,IF(Model!$B$5&gt;9,'Vstupní hodnoty'!$H$7*Model!D17,IF(Model!$B$5&gt;6,'Vstupní hodnoty'!$H$6*Model!D17,IF(Model!$B$5&gt;3,'Vstupní hodnoty'!$H$5*Model!D17,IF(Model!$B$5&gt;1,'Vstupní hodnoty'!$H$4*Model!D17,0)))))</f>
        <v>4104</v>
      </c>
      <c r="K17" s="5">
        <f>F17+G17+H17+E17*'Vstupní hodnoty'!L$4+J17*'Vstupní hodnoty'!L$4+I17*'Vstupní hodnoty'!L$4</f>
        <v>82387.828571428574</v>
      </c>
      <c r="L17" s="5">
        <f t="shared" si="1"/>
        <v>3432.8261904761907</v>
      </c>
      <c r="X17" s="14">
        <v>24</v>
      </c>
      <c r="Y17" s="5">
        <f>INDEX('Vstupní hodnoty'!$A$4:$A$15, MATCH(Model!$V$2,'Vstupní hodnoty'!$B$4:$B$15,0))/30*(X17+1*X17/7)</f>
        <v>42176</v>
      </c>
      <c r="Z17">
        <f t="shared" si="2"/>
        <v>0</v>
      </c>
      <c r="AA17">
        <f t="shared" si="3"/>
        <v>24000</v>
      </c>
      <c r="AB17">
        <f>IF(X17&lt;14, 0, IF(AND(X17&gt;20,$V$4&lt;3,$V$3&lt;2), 'Vstupní hodnoty'!$I$6, IF(AND(X17&gt;20, $V$4&lt;4, $V$3&lt;4), 'Vstupní hodnoty'!$I$5, 'Vstupní hodnoty'!$I$4)))</f>
        <v>27000</v>
      </c>
      <c r="AC17">
        <f>IF($V$7=1, 'Vstupní hodnoty'!$J$4*(2/3)/30*Model!X17, 0)</f>
        <v>0</v>
      </c>
      <c r="AD17">
        <f>IF(Model!$V$5&gt;12,'Vstupní hodnoty'!$H$8*Model!X17,IF(Model!$V$5&gt;9,'Vstupní hodnoty'!$H$7*Model!X17,IF(Model!$V$5&gt;6,'Vstupní hodnoty'!$H$6*Model!X17,IF(Model!$V$5&gt;3,'Vstupní hodnoty'!$H$5*Model!X17,IF(Model!$V$5&gt;1,'Vstupní hodnoty'!$H$4*Model!X17,0)))))</f>
        <v>6168</v>
      </c>
      <c r="AE17" s="5">
        <f>Z17+AA17+AB17+Y17*'Vstupní hodnoty'!L$4+AD17*'Vstupní hodnoty'!L$4+AC17*'Vstupní hodnoty'!L$4</f>
        <v>92092.400000000009</v>
      </c>
      <c r="AF17" s="5">
        <f t="shared" si="4"/>
        <v>3837.1833333333338</v>
      </c>
      <c r="AK17" s="14">
        <v>24</v>
      </c>
      <c r="AL17" s="5">
        <f>INDEX('Vstupní hodnoty'!$A$4:$A$15, MATCH(Model!$AI$2,'Vstupní hodnoty'!$B$4:$B$15,0))/30*(AK17+1*AK17/7)</f>
        <v>42176</v>
      </c>
      <c r="AM17">
        <f t="shared" si="5"/>
        <v>0</v>
      </c>
      <c r="AN17">
        <f t="shared" si="6"/>
        <v>24000</v>
      </c>
      <c r="AO17">
        <f>IF(OR(AK17&lt;14, AI$3=4, AI$4=4),0,IF(AK17&lt;21,'Vstupní hodnoty'!N$4,IF(AK17&lt;28,'Vstupní hodnoty'!N$5,IF(AK17&lt;35,'Vstupní hodnoty'!N$6,'Vstupní hodnoty'!N$6))))+IF(OR(AK17&lt;21, AI$4=4),0,IF(AI$3&lt;2,'Vstupní hodnoty'!O$6*'Vstupní hodnoty'!$A$17*(AK17-20),IF(Model!AI$3&lt;3,'Vstupní hodnoty'!O$5*'Vstupní hodnoty'!$A$17*(AK17-20),IF(Model!AI$3&lt;4,'Vstupní hodnoty'!O$4*'Vstupní hodnoty'!$A$17*(AK17-20),0))))+IF(OR(AK17&lt;21, AI$3=4), 0, IF(AI$4=1, 'Vstupní hodnoty'!P$6, IF(Model!AI$4=2, 'Vstupní hodnoty'!P$5, IF(Model!AI$4=3, 'Vstupní hodnoty'!P$4, 0))))</f>
        <v>34112</v>
      </c>
      <c r="AP17">
        <f>IF($AI$7=1, 'Vstupní hodnoty'!J$4*(2/3)/30*Model!AK17, 0)</f>
        <v>0</v>
      </c>
      <c r="AQ17">
        <f>IF(Model!$AI$5&gt;12,'Vstupní hodnoty'!$H$8*Model!AK17,IF(Model!$AI$5&gt;9,'Vstupní hodnoty'!$H$7*Model!AK17,IF(Model!$AI$5&gt;6,'Vstupní hodnoty'!$H$6*Model!AK17,IF(Model!$AI$5&gt;3,'Vstupní hodnoty'!$H$5*Model!AK17,IF(Model!$AI$5&gt;1,'Vstupní hodnoty'!$H$4*Model!AK17,0)))))</f>
        <v>6168</v>
      </c>
      <c r="AR17" s="5">
        <f>AM17+AN17+AO17+AL17*'Vstupní hodnoty'!L$4+AQ17*'Vstupní hodnoty'!L$4+AP17*'Vstupní hodnoty'!L$4</f>
        <v>99204.400000000009</v>
      </c>
      <c r="AS17" s="5">
        <f t="shared" si="7"/>
        <v>4133.5166666666673</v>
      </c>
      <c r="AX17" s="14">
        <v>24</v>
      </c>
      <c r="AY17" s="5">
        <f>INDEX('Vstupní hodnoty'!$A$4:$A$15, MATCH(Model!$AV$2,'Vstupní hodnoty'!$B$4:$B$15,0))/30*(AX17+1*AX17/7)</f>
        <v>32822.857142857145</v>
      </c>
      <c r="AZ17">
        <f t="shared" si="8"/>
        <v>0</v>
      </c>
      <c r="BA17">
        <f t="shared" si="9"/>
        <v>24000</v>
      </c>
      <c r="BB17" s="5">
        <f>IF(OR(AV$3=4,AV$4=4),0,'Roční bonus alt 2'!D16)+IF(OR(AX17&lt;21,AV$3=4,AV$4=4),0,IF(AV$3&lt;2,'Vstupní hodnoty'!O$6*'Vstupní hodnoty'!$A$17*(Model!AX17-20),IF(Model!AV$3&lt;3,'Vstupní hodnoty'!O$5*'Vstupní hodnoty'!$A$17*(Model!AX17-20),IF(Model!AV$3&lt;4,'Vstupní hodnoty'!O$4*'Vstupní hodnoty'!$A$17*(Model!AX17-20),0))))+IF(OR(AX17&lt;21,AV$3=4,AV$4=4),0,IF(AV$4=1,'Vstupní hodnoty'!P$6,IF(Model!AV$4=2,'Vstupní hodnoty'!P$5,IF(Model!AV$4=3,'Vstupní hodnoty'!P$4,0))))</f>
        <v>26485.333333333336</v>
      </c>
      <c r="BC17">
        <f>IF($AV$7=1, 'Vstupní hodnoty'!J$4*(2/3)/30*Model!AX17, 0)</f>
        <v>0</v>
      </c>
      <c r="BD17">
        <f>IF(Model!$AV$5&gt;12,'Vstupní hodnoty'!$Q$8*Model!AX17,IF(Model!$AV$5&gt;9,'Vstupní hodnoty'!$Q$7*Model!AX17,IF(Model!$AV$5&gt;6,'Vstupní hodnoty'!$Q$6*Model!AX17,IF(Model!$AV$5&gt;3,'Vstupní hodnoty'!$Q$5*Model!AX17,IF(Model!$AV$5&gt;1,'Vstupní hodnoty'!$Q$4*Model!AX17,0)))))</f>
        <v>7488</v>
      </c>
      <c r="BE17" s="5">
        <f>AZ17+BA17+BB17+AY17*'Vstupní hodnoty'!L$4+BD17*'Vstupní hodnoty'!L$4+BC17*'Vstupní hodnoty'!L$4</f>
        <v>84749.561904761911</v>
      </c>
      <c r="BF17" s="5">
        <f t="shared" si="10"/>
        <v>3531.2317460317463</v>
      </c>
    </row>
    <row r="18" spans="4:58" x14ac:dyDescent="0.2">
      <c r="D18" s="14">
        <v>25</v>
      </c>
      <c r="E18" s="5">
        <f>INDEX('Vstupní hodnoty'!$A$4:$A$15, MATCH(Model!$B$2,'Vstupní hodnoty'!$B$4:$B$15,0))/30*(D18+1*D18/7)</f>
        <v>34190.476190476198</v>
      </c>
      <c r="F18">
        <f t="shared" si="0"/>
        <v>0</v>
      </c>
      <c r="G18">
        <f t="shared" si="11"/>
        <v>24000</v>
      </c>
      <c r="H18">
        <f>IF(D18&lt;14, 0, IF(AND(D18&gt;20,$B$4&lt;3,$B$3&lt;2), 'Vstupní hodnoty'!K$6, IF(AND(D18&gt;20, $B$4&lt;3, $B$3&lt;4), 'Vstupní hodnoty'!$K$5, 'Vstupní hodnoty'!$K$4)))</f>
        <v>27000</v>
      </c>
      <c r="I18">
        <f>IF($B$7=1, 'Vstupní hodnoty'!J$4*(2/3)/30*Model!D18, 0)</f>
        <v>0</v>
      </c>
      <c r="J18">
        <f>IF(Model!$B$5&gt;12,'Vstupní hodnoty'!$H$8*Model!D18,IF(Model!$B$5&gt;9,'Vstupní hodnoty'!$H$7*Model!D18,IF(Model!$B$5&gt;6,'Vstupní hodnoty'!$H$6*Model!D18,IF(Model!$B$5&gt;3,'Vstupní hodnoty'!$H$5*Model!D18,IF(Model!$B$5&gt;1,'Vstupní hodnoty'!$H$4*Model!D18,0)))))</f>
        <v>4275</v>
      </c>
      <c r="K18" s="5">
        <f>F18+G18+H18+E18*'Vstupní hodnoty'!L$4+J18*'Vstupní hodnoty'!L$4+I18*'Vstupní hodnoty'!L$4</f>
        <v>83695.654761904763</v>
      </c>
      <c r="L18" s="5">
        <f t="shared" si="1"/>
        <v>3347.8261904761907</v>
      </c>
      <c r="X18" s="14">
        <v>25</v>
      </c>
      <c r="Y18" s="5">
        <f>INDEX('Vstupní hodnoty'!$A$4:$A$15, MATCH(Model!$V$2,'Vstupní hodnoty'!$B$4:$B$15,0))/30*(X18+1*X18/7)</f>
        <v>43933.333333333336</v>
      </c>
      <c r="Z18">
        <f t="shared" si="2"/>
        <v>0</v>
      </c>
      <c r="AA18">
        <f t="shared" si="3"/>
        <v>24000</v>
      </c>
      <c r="AB18">
        <f>IF(X18&lt;14, 0, IF(AND(X18&gt;20,$V$4&lt;3,$V$3&lt;2), 'Vstupní hodnoty'!$I$6, IF(AND(X18&gt;20, $V$4&lt;4, $V$3&lt;4), 'Vstupní hodnoty'!$I$5, 'Vstupní hodnoty'!$I$4)))</f>
        <v>27000</v>
      </c>
      <c r="AC18">
        <f>IF($V$7=1, 'Vstupní hodnoty'!$J$4*(2/3)/30*Model!X18, 0)</f>
        <v>0</v>
      </c>
      <c r="AD18">
        <f>IF(Model!$V$5&gt;12,'Vstupní hodnoty'!$H$8*Model!X18,IF(Model!$V$5&gt;9,'Vstupní hodnoty'!$H$7*Model!X18,IF(Model!$V$5&gt;6,'Vstupní hodnoty'!$H$6*Model!X18,IF(Model!$V$5&gt;3,'Vstupní hodnoty'!$H$5*Model!X18,IF(Model!$V$5&gt;1,'Vstupní hodnoty'!$H$4*Model!X18,0)))))</f>
        <v>6425</v>
      </c>
      <c r="AE18" s="5">
        <f>Z18+AA18+AB18+Y18*'Vstupní hodnoty'!L$4+AD18*'Vstupní hodnoty'!L$4+AC18*'Vstupní hodnoty'!L$4</f>
        <v>93804.583333333343</v>
      </c>
      <c r="AF18" s="5">
        <f t="shared" si="4"/>
        <v>3752.1833333333338</v>
      </c>
      <c r="AK18" s="14">
        <v>25</v>
      </c>
      <c r="AL18" s="5">
        <f>INDEX('Vstupní hodnoty'!$A$4:$A$15, MATCH(Model!$AI$2,'Vstupní hodnoty'!$B$4:$B$15,0))/30*(AK18+1*AK18/7)</f>
        <v>43933.333333333336</v>
      </c>
      <c r="AM18">
        <f t="shared" si="5"/>
        <v>0</v>
      </c>
      <c r="AN18">
        <f t="shared" si="6"/>
        <v>24000</v>
      </c>
      <c r="AO18">
        <f>IF(OR(AK18&lt;14, AI$3=4, AI$4=4),0,IF(AK18&lt;21,'Vstupní hodnoty'!N$4,IF(AK18&lt;28,'Vstupní hodnoty'!N$5,IF(AK18&lt;35,'Vstupní hodnoty'!N$6,'Vstupní hodnoty'!N$6))))+IF(OR(AK18&lt;21, AI$4=4),0,IF(AI$3&lt;2,'Vstupní hodnoty'!O$6*'Vstupní hodnoty'!$A$17*(AK18-20),IF(Model!AI$3&lt;3,'Vstupní hodnoty'!O$5*'Vstupní hodnoty'!$A$17*(AK18-20),IF(Model!AI$3&lt;4,'Vstupní hodnoty'!O$4*'Vstupní hodnoty'!$A$17*(AK18-20),0))))+IF(OR(AK18&lt;21, AI$3=4), 0, IF(AI$4=1, 'Vstupní hodnoty'!P$6, IF(Model!AI$4=2, 'Vstupní hodnoty'!P$5, IF(Model!AI$4=3, 'Vstupní hodnoty'!P$4, 0))))</f>
        <v>34320</v>
      </c>
      <c r="AP18">
        <f>IF($AI$7=1, 'Vstupní hodnoty'!J$4*(2/3)/30*Model!AK18, 0)</f>
        <v>0</v>
      </c>
      <c r="AQ18">
        <f>IF(Model!$AI$5&gt;12,'Vstupní hodnoty'!$H$8*Model!AK18,IF(Model!$AI$5&gt;9,'Vstupní hodnoty'!$H$7*Model!AK18,IF(Model!$AI$5&gt;6,'Vstupní hodnoty'!$H$6*Model!AK18,IF(Model!$AI$5&gt;3,'Vstupní hodnoty'!$H$5*Model!AK18,IF(Model!$AI$5&gt;1,'Vstupní hodnoty'!$H$4*Model!AK18,0)))))</f>
        <v>6425</v>
      </c>
      <c r="AR18" s="5">
        <f>AM18+AN18+AO18+AL18*'Vstupní hodnoty'!L$4+AQ18*'Vstupní hodnoty'!L$4+AP18*'Vstupní hodnoty'!L$4</f>
        <v>101124.58333333334</v>
      </c>
      <c r="AS18" s="5">
        <f t="shared" si="7"/>
        <v>4044.9833333333336</v>
      </c>
      <c r="AX18" s="14">
        <v>25</v>
      </c>
      <c r="AY18" s="5">
        <f>INDEX('Vstupní hodnoty'!$A$4:$A$15, MATCH(Model!$AV$2,'Vstupní hodnoty'!$B$4:$B$15,0))/30*(AX18+1*AX18/7)</f>
        <v>34190.476190476198</v>
      </c>
      <c r="AZ18">
        <f t="shared" si="8"/>
        <v>0</v>
      </c>
      <c r="BA18">
        <f t="shared" si="9"/>
        <v>24000</v>
      </c>
      <c r="BB18" s="5">
        <f>IF(OR(AV$3=4,AV$4=4),0,'Roční bonus alt 2'!D17)+IF(OR(AX18&lt;21,AV$3=4,AV$4=4),0,IF(AV$3&lt;2,'Vstupní hodnoty'!O$6*'Vstupní hodnoty'!$A$17*(Model!AX18-20),IF(Model!AV$3&lt;3,'Vstupní hodnoty'!O$5*'Vstupní hodnoty'!$A$17*(Model!AX18-20),IF(Model!AV$3&lt;4,'Vstupní hodnoty'!O$4*'Vstupní hodnoty'!$A$17*(Model!AX18-20),0))))+IF(OR(AX18&lt;21,AV$3=4,AV$4=4),0,IF(AV$4=1,'Vstupní hodnoty'!P$6,IF(Model!AV$4=2,'Vstupní hodnoty'!P$5,IF(Model!AV$4=3,'Vstupní hodnoty'!P$4,0))))</f>
        <v>28080.000000000004</v>
      </c>
      <c r="BC18">
        <f>IF($AV$7=1, 'Vstupní hodnoty'!J$4*(2/3)/30*Model!AX18, 0)</f>
        <v>0</v>
      </c>
      <c r="BD18">
        <f>IF(Model!$AV$5&gt;12,'Vstupní hodnoty'!$Q$8*Model!AX18,IF(Model!$AV$5&gt;9,'Vstupní hodnoty'!$Q$7*Model!AX18,IF(Model!$AV$5&gt;6,'Vstupní hodnoty'!$Q$6*Model!AX18,IF(Model!$AV$5&gt;3,'Vstupní hodnoty'!$Q$5*Model!AX18,IF(Model!$AV$5&gt;1,'Vstupní hodnoty'!$Q$4*Model!AX18,0)))))</f>
        <v>7800</v>
      </c>
      <c r="BE18" s="5">
        <f>AZ18+BA18+BB18+AY18*'Vstupní hodnoty'!L$4+BD18*'Vstupní hodnoty'!L$4+BC18*'Vstupní hodnoty'!L$4</f>
        <v>87771.904761904763</v>
      </c>
      <c r="BF18" s="5">
        <f t="shared" si="10"/>
        <v>3510.8761904761905</v>
      </c>
    </row>
    <row r="19" spans="4:58" x14ac:dyDescent="0.2">
      <c r="D19" s="14">
        <v>26</v>
      </c>
      <c r="E19" s="5">
        <f>INDEX('Vstupní hodnoty'!$A$4:$A$15, MATCH(Model!$B$2,'Vstupní hodnoty'!$B$4:$B$15,0))/30*(D19+1*D19/7)</f>
        <v>35558.095238095244</v>
      </c>
      <c r="F19">
        <f t="shared" si="0"/>
        <v>0</v>
      </c>
      <c r="G19">
        <f t="shared" si="11"/>
        <v>24000</v>
      </c>
      <c r="H19">
        <f>IF(D19&lt;14, 0, IF(AND(D19&gt;20,$B$4&lt;3,$B$3&lt;2), 'Vstupní hodnoty'!K$6, IF(AND(D19&gt;20, $B$4&lt;3, $B$3&lt;4), 'Vstupní hodnoty'!$K$5, 'Vstupní hodnoty'!$K$4)))</f>
        <v>27000</v>
      </c>
      <c r="I19">
        <f>IF($B$7=1, 'Vstupní hodnoty'!J$4*(2/3)/30*Model!D19, 0)</f>
        <v>0</v>
      </c>
      <c r="J19">
        <f>IF(Model!$B$5&gt;12,'Vstupní hodnoty'!$H$8*Model!D19,IF(Model!$B$5&gt;9,'Vstupní hodnoty'!$H$7*Model!D19,IF(Model!$B$5&gt;6,'Vstupní hodnoty'!$H$6*Model!D19,IF(Model!$B$5&gt;3,'Vstupní hodnoty'!$H$5*Model!D19,IF(Model!$B$5&gt;1,'Vstupní hodnoty'!$H$4*Model!D19,0)))))</f>
        <v>4446</v>
      </c>
      <c r="K19" s="5">
        <f>F19+G19+H19+E19*'Vstupní hodnoty'!L$4+J19*'Vstupní hodnoty'!L$4+I19*'Vstupní hodnoty'!L$4</f>
        <v>85003.480952380967</v>
      </c>
      <c r="L19" s="5">
        <f t="shared" si="1"/>
        <v>3269.3646520146526</v>
      </c>
      <c r="X19" s="14">
        <v>26</v>
      </c>
      <c r="Y19" s="5">
        <f>INDEX('Vstupní hodnoty'!$A$4:$A$15, MATCH(Model!$V$2,'Vstupní hodnoty'!$B$4:$B$15,0))/30*(X19+1*X19/7)</f>
        <v>45690.666666666672</v>
      </c>
      <c r="Z19">
        <f t="shared" si="2"/>
        <v>0</v>
      </c>
      <c r="AA19">
        <f t="shared" si="3"/>
        <v>24000</v>
      </c>
      <c r="AB19">
        <f>IF(X19&lt;14, 0, IF(AND(X19&gt;20,$V$4&lt;3,$V$3&lt;2), 'Vstupní hodnoty'!$I$6, IF(AND(X19&gt;20, $V$4&lt;4, $V$3&lt;4), 'Vstupní hodnoty'!$I$5, 'Vstupní hodnoty'!$I$4)))</f>
        <v>27000</v>
      </c>
      <c r="AC19">
        <f>IF($V$7=1, 'Vstupní hodnoty'!$J$4*(2/3)/30*Model!X19, 0)</f>
        <v>0</v>
      </c>
      <c r="AD19">
        <f>IF(Model!$V$5&gt;12,'Vstupní hodnoty'!$H$8*Model!X19,IF(Model!$V$5&gt;9,'Vstupní hodnoty'!$H$7*Model!X19,IF(Model!$V$5&gt;6,'Vstupní hodnoty'!$H$6*Model!X19,IF(Model!$V$5&gt;3,'Vstupní hodnoty'!$H$5*Model!X19,IF(Model!$V$5&gt;1,'Vstupní hodnoty'!$H$4*Model!X19,0)))))</f>
        <v>6682</v>
      </c>
      <c r="AE19" s="5">
        <f>Z19+AA19+AB19+Y19*'Vstupní hodnoty'!L$4+AD19*'Vstupní hodnoty'!L$4+AC19*'Vstupní hodnoty'!L$4</f>
        <v>95516.766666666677</v>
      </c>
      <c r="AF19" s="5">
        <f t="shared" si="4"/>
        <v>3673.7217948717953</v>
      </c>
      <c r="AK19" s="14">
        <v>26</v>
      </c>
      <c r="AL19" s="5">
        <f>INDEX('Vstupní hodnoty'!$A$4:$A$15, MATCH(Model!$AI$2,'Vstupní hodnoty'!$B$4:$B$15,0))/30*(AK19+1*AK19/7)</f>
        <v>45690.666666666672</v>
      </c>
      <c r="AM19">
        <f t="shared" si="5"/>
        <v>0</v>
      </c>
      <c r="AN19">
        <f t="shared" si="6"/>
        <v>24000</v>
      </c>
      <c r="AO19">
        <f>IF(OR(AK19&lt;14, AI$3=4, AI$4=4),0,IF(AK19&lt;21,'Vstupní hodnoty'!N$4,IF(AK19&lt;28,'Vstupní hodnoty'!N$5,IF(AK19&lt;35,'Vstupní hodnoty'!N$6,'Vstupní hodnoty'!N$6))))+IF(OR(AK19&lt;21, AI$4=4),0,IF(AI$3&lt;2,'Vstupní hodnoty'!O$6*'Vstupní hodnoty'!$A$17*(AK19-20),IF(Model!AI$3&lt;3,'Vstupní hodnoty'!O$5*'Vstupní hodnoty'!$A$17*(AK19-20),IF(Model!AI$3&lt;4,'Vstupní hodnoty'!O$4*'Vstupní hodnoty'!$A$17*(AK19-20),0))))+IF(OR(AK19&lt;21, AI$3=4), 0, IF(AI$4=1, 'Vstupní hodnoty'!P$6, IF(Model!AI$4=2, 'Vstupní hodnoty'!P$5, IF(Model!AI$4=3, 'Vstupní hodnoty'!P$4, 0))))</f>
        <v>34528</v>
      </c>
      <c r="AP19">
        <f>IF($AI$7=1, 'Vstupní hodnoty'!J$4*(2/3)/30*Model!AK19, 0)</f>
        <v>0</v>
      </c>
      <c r="AQ19">
        <f>IF(Model!$AI$5&gt;12,'Vstupní hodnoty'!$H$8*Model!AK19,IF(Model!$AI$5&gt;9,'Vstupní hodnoty'!$H$7*Model!AK19,IF(Model!$AI$5&gt;6,'Vstupní hodnoty'!$H$6*Model!AK19,IF(Model!$AI$5&gt;3,'Vstupní hodnoty'!$H$5*Model!AK19,IF(Model!$AI$5&gt;1,'Vstupní hodnoty'!$H$4*Model!AK19,0)))))</f>
        <v>6682</v>
      </c>
      <c r="AR19" s="5">
        <f>AM19+AN19+AO19+AL19*'Vstupní hodnoty'!L$4+AQ19*'Vstupní hodnoty'!L$4+AP19*'Vstupní hodnoty'!L$4</f>
        <v>103044.76666666668</v>
      </c>
      <c r="AS19" s="5">
        <f t="shared" si="7"/>
        <v>3963.2602564102567</v>
      </c>
      <c r="AX19" s="14">
        <v>26</v>
      </c>
      <c r="AY19" s="5">
        <f>INDEX('Vstupní hodnoty'!$A$4:$A$15, MATCH(Model!$AV$2,'Vstupní hodnoty'!$B$4:$B$15,0))/30*(AX19+1*AX19/7)</f>
        <v>35558.095238095244</v>
      </c>
      <c r="AZ19">
        <f t="shared" si="8"/>
        <v>0</v>
      </c>
      <c r="BA19">
        <f t="shared" si="9"/>
        <v>24000</v>
      </c>
      <c r="BB19" s="5">
        <f>IF(OR(AV$3=4,AV$4=4),0,'Roční bonus alt 2'!D18)+IF(OR(AX19&lt;21,AV$3=4,AV$4=4),0,IF(AV$3&lt;2,'Vstupní hodnoty'!O$6*'Vstupní hodnoty'!$A$17*(Model!AX19-20),IF(Model!AV$3&lt;3,'Vstupní hodnoty'!O$5*'Vstupní hodnoty'!$A$17*(Model!AX19-20),IF(Model!AV$3&lt;4,'Vstupní hodnoty'!O$4*'Vstupní hodnoty'!$A$17*(Model!AX19-20),0))))+IF(OR(AX19&lt;21,AV$3=4,AV$4=4),0,IF(AV$4=1,'Vstupní hodnoty'!P$6,IF(Model!AV$4=2,'Vstupní hodnoty'!P$5,IF(Model!AV$4=3,'Vstupní hodnoty'!P$4,0))))</f>
        <v>29674.666666666668</v>
      </c>
      <c r="BC19">
        <f>IF($AV$7=1, 'Vstupní hodnoty'!J$4*(2/3)/30*Model!AX19, 0)</f>
        <v>0</v>
      </c>
      <c r="BD19">
        <f>IF(Model!$AV$5&gt;12,'Vstupní hodnoty'!$Q$8*Model!AX19,IF(Model!$AV$5&gt;9,'Vstupní hodnoty'!$Q$7*Model!AX19,IF(Model!$AV$5&gt;6,'Vstupní hodnoty'!$Q$6*Model!AX19,IF(Model!$AV$5&gt;3,'Vstupní hodnoty'!$Q$5*Model!AX19,IF(Model!$AV$5&gt;1,'Vstupní hodnoty'!$Q$4*Model!AX19,0)))))</f>
        <v>8112</v>
      </c>
      <c r="BE19" s="5">
        <f>AZ19+BA19+BB19+AY19*'Vstupní hodnoty'!L$4+BD19*'Vstupní hodnoty'!L$4+BC19*'Vstupní hodnoty'!L$4</f>
        <v>90794.24761904763</v>
      </c>
      <c r="BF19" s="5">
        <f t="shared" si="10"/>
        <v>3492.0864468864474</v>
      </c>
    </row>
    <row r="20" spans="4:58" x14ac:dyDescent="0.2">
      <c r="D20" s="14">
        <v>27</v>
      </c>
      <c r="E20" s="5">
        <f>INDEX('Vstupní hodnoty'!$A$4:$A$15, MATCH(Model!$B$2,'Vstupní hodnoty'!$B$4:$B$15,0))/30*(D20+1*D20/7)</f>
        <v>36925.71428571429</v>
      </c>
      <c r="F20">
        <f t="shared" si="0"/>
        <v>0</v>
      </c>
      <c r="G20">
        <f t="shared" si="11"/>
        <v>24000</v>
      </c>
      <c r="H20">
        <f>IF(D20&lt;14, 0, IF(AND(D20&gt;20,$B$4&lt;3,$B$3&lt;2), 'Vstupní hodnoty'!K$6, IF(AND(D20&gt;20, $B$4&lt;3, $B$3&lt;4), 'Vstupní hodnoty'!$K$5, 'Vstupní hodnoty'!$K$4)))</f>
        <v>27000</v>
      </c>
      <c r="I20">
        <f>IF($B$7=1, 'Vstupní hodnoty'!J$4*(2/3)/30*Model!D20, 0)</f>
        <v>0</v>
      </c>
      <c r="J20">
        <f>IF(Model!$B$5&gt;12,'Vstupní hodnoty'!$H$8*Model!D20,IF(Model!$B$5&gt;9,'Vstupní hodnoty'!$H$7*Model!D20,IF(Model!$B$5&gt;6,'Vstupní hodnoty'!$H$6*Model!D20,IF(Model!$B$5&gt;3,'Vstupní hodnoty'!$H$5*Model!D20,IF(Model!$B$5&gt;1,'Vstupní hodnoty'!$H$4*Model!D20,0)))))</f>
        <v>4617</v>
      </c>
      <c r="K20" s="5">
        <f>F20+G20+H20+E20*'Vstupní hodnoty'!L$4+J20*'Vstupní hodnoty'!L$4+I20*'Vstupní hodnoty'!L$4</f>
        <v>86311.307142857142</v>
      </c>
      <c r="L20" s="5">
        <f>K20/D20</f>
        <v>3196.7150793650794</v>
      </c>
      <c r="X20" s="14">
        <v>27</v>
      </c>
      <c r="Y20" s="5">
        <f>INDEX('Vstupní hodnoty'!$A$4:$A$15, MATCH(Model!$V$2,'Vstupní hodnoty'!$B$4:$B$15,0))/30*(X20+1*X20/7)</f>
        <v>47448</v>
      </c>
      <c r="Z20">
        <f t="shared" si="2"/>
        <v>0</v>
      </c>
      <c r="AA20">
        <f t="shared" si="3"/>
        <v>24000</v>
      </c>
      <c r="AB20">
        <f>IF(X20&lt;14, 0, IF(AND(X20&gt;20,$V$4&lt;3,$V$3&lt;2), 'Vstupní hodnoty'!$I$6, IF(AND(X20&gt;20, $V$4&lt;4, $V$3&lt;4), 'Vstupní hodnoty'!$I$5, 'Vstupní hodnoty'!$I$4)))</f>
        <v>27000</v>
      </c>
      <c r="AC20">
        <f>IF($V$7=1, 'Vstupní hodnoty'!$J$4*(2/3)/30*Model!X20, 0)</f>
        <v>0</v>
      </c>
      <c r="AD20">
        <f>IF(Model!$V$5&gt;12,'Vstupní hodnoty'!$H$8*Model!X20,IF(Model!$V$5&gt;9,'Vstupní hodnoty'!$H$7*Model!X20,IF(Model!$V$5&gt;6,'Vstupní hodnoty'!$H$6*Model!X20,IF(Model!$V$5&gt;3,'Vstupní hodnoty'!$H$5*Model!X20,IF(Model!$V$5&gt;1,'Vstupní hodnoty'!$H$4*Model!X20,0)))))</f>
        <v>6939</v>
      </c>
      <c r="AE20" s="5">
        <f>Z20+AA20+AB20+Y20*'Vstupní hodnoty'!L$4+AD20*'Vstupní hodnoty'!L$4+AC20*'Vstupní hodnoty'!L$4</f>
        <v>97228.949999999983</v>
      </c>
      <c r="AF20" s="5">
        <f t="shared" si="4"/>
        <v>3601.0722222222216</v>
      </c>
      <c r="AK20" s="14">
        <v>27</v>
      </c>
      <c r="AL20" s="5">
        <f>INDEX('Vstupní hodnoty'!$A$4:$A$15, MATCH(Model!$AI$2,'Vstupní hodnoty'!$B$4:$B$15,0))/30*(AK20+1*AK20/7)</f>
        <v>47448</v>
      </c>
      <c r="AM20">
        <f t="shared" si="5"/>
        <v>0</v>
      </c>
      <c r="AN20">
        <f t="shared" si="6"/>
        <v>24000</v>
      </c>
      <c r="AO20">
        <f>IF(OR(AK20&lt;14, AI$3=4, AI$4=4),0,IF(AK20&lt;21,'Vstupní hodnoty'!N$4,IF(AK20&lt;28,'Vstupní hodnoty'!N$5,IF(AK20&lt;35,'Vstupní hodnoty'!N$6,'Vstupní hodnoty'!N$6))))+IF(OR(AK20&lt;21, AI$4=4),0,IF(AI$3&lt;2,'Vstupní hodnoty'!O$6*'Vstupní hodnoty'!$A$17*(AK20-20),IF(Model!AI$3&lt;3,'Vstupní hodnoty'!O$5*'Vstupní hodnoty'!$A$17*(AK20-20),IF(Model!AI$3&lt;4,'Vstupní hodnoty'!O$4*'Vstupní hodnoty'!$A$17*(AK20-20),0))))+IF(OR(AK20&lt;21, AI$3=4), 0, IF(AI$4=1, 'Vstupní hodnoty'!P$6, IF(Model!AI$4=2, 'Vstupní hodnoty'!P$5, IF(Model!AI$4=3, 'Vstupní hodnoty'!P$4, 0))))</f>
        <v>34736</v>
      </c>
      <c r="AP20">
        <f>IF($AI$7=1, 'Vstupní hodnoty'!J$4*(2/3)/30*Model!AK20, 0)</f>
        <v>0</v>
      </c>
      <c r="AQ20">
        <f>IF(Model!$AI$5&gt;12,'Vstupní hodnoty'!$H$8*Model!AK20,IF(Model!$AI$5&gt;9,'Vstupní hodnoty'!$H$7*Model!AK20,IF(Model!$AI$5&gt;6,'Vstupní hodnoty'!$H$6*Model!AK20,IF(Model!$AI$5&gt;3,'Vstupní hodnoty'!$H$5*Model!AK20,IF(Model!$AI$5&gt;1,'Vstupní hodnoty'!$H$4*Model!AK20,0)))))</f>
        <v>6939</v>
      </c>
      <c r="AR20" s="5">
        <f>AM20+AN20+AO20+AL20*'Vstupní hodnoty'!L$4+AQ20*'Vstupní hodnoty'!L$4+AP20*'Vstupní hodnoty'!L$4</f>
        <v>104964.94999999998</v>
      </c>
      <c r="AS20" s="5">
        <f t="shared" si="7"/>
        <v>3887.5907407407399</v>
      </c>
      <c r="AX20" s="14">
        <v>27</v>
      </c>
      <c r="AY20" s="5">
        <f>INDEX('Vstupní hodnoty'!$A$4:$A$15, MATCH(Model!$AV$2,'Vstupní hodnoty'!$B$4:$B$15,0))/30*(AX20+1*AX20/7)</f>
        <v>36925.71428571429</v>
      </c>
      <c r="AZ20">
        <f t="shared" si="8"/>
        <v>0</v>
      </c>
      <c r="BA20">
        <f t="shared" si="9"/>
        <v>24000</v>
      </c>
      <c r="BB20" s="5">
        <f>IF(OR(AV$3=4,AV$4=4),0,'Roční bonus alt 2'!D19)+IF(OR(AX20&lt;21,AV$3=4,AV$4=4),0,IF(AV$3&lt;2,'Vstupní hodnoty'!O$6*'Vstupní hodnoty'!$A$17*(Model!AX20-20),IF(Model!AV$3&lt;3,'Vstupní hodnoty'!O$5*'Vstupní hodnoty'!$A$17*(Model!AX20-20),IF(Model!AV$3&lt;4,'Vstupní hodnoty'!O$4*'Vstupní hodnoty'!$A$17*(Model!AX20-20),0))))+IF(OR(AX20&lt;21,AV$3=4,AV$4=4),0,IF(AV$4=1,'Vstupní hodnoty'!P$6,IF(Model!AV$4=2,'Vstupní hodnoty'!P$5,IF(Model!AV$4=3,'Vstupní hodnoty'!P$4,0))))</f>
        <v>31269.333333333336</v>
      </c>
      <c r="BC20">
        <f>IF($AV$7=1, 'Vstupní hodnoty'!J$4*(2/3)/30*Model!AX20, 0)</f>
        <v>0</v>
      </c>
      <c r="BD20">
        <f>IF(Model!$AV$5&gt;12,'Vstupní hodnoty'!$Q$8*Model!AX20,IF(Model!$AV$5&gt;9,'Vstupní hodnoty'!$Q$7*Model!AX20,IF(Model!$AV$5&gt;6,'Vstupní hodnoty'!$Q$6*Model!AX20,IF(Model!$AV$5&gt;3,'Vstupní hodnoty'!$Q$5*Model!AX20,IF(Model!$AV$5&gt;1,'Vstupní hodnoty'!$Q$4*Model!AX20,0)))))</f>
        <v>8424</v>
      </c>
      <c r="BE20" s="5">
        <f>AZ20+BA20+BB20+AY20*'Vstupní hodnoty'!L$4+BD20*'Vstupní hodnoty'!L$4+BC20*'Vstupní hodnoty'!L$4</f>
        <v>93816.590476190468</v>
      </c>
      <c r="BF20" s="5">
        <f t="shared" si="10"/>
        <v>3474.6885361552027</v>
      </c>
    </row>
    <row r="21" spans="4:58" x14ac:dyDescent="0.2">
      <c r="D21" s="14">
        <v>28</v>
      </c>
      <c r="E21" s="5">
        <f>INDEX('Vstupní hodnoty'!$A$4:$A$15, MATCH(Model!$B$2,'Vstupní hodnoty'!$B$4:$B$15,0))/30*(D21+1*D21/7)</f>
        <v>38293.333333333336</v>
      </c>
      <c r="F21">
        <f t="shared" si="0"/>
        <v>0</v>
      </c>
      <c r="G21">
        <f t="shared" si="11"/>
        <v>24000</v>
      </c>
      <c r="H21">
        <f>IF(D21&lt;14, 0, IF(AND(D21&gt;20,$B$4&lt;3,$B$3&lt;2), 'Vstupní hodnoty'!K$6, IF(AND(D21&gt;20, $B$4&lt;3, $B$3&lt;4), 'Vstupní hodnoty'!$K$5, 'Vstupní hodnoty'!$K$4)))</f>
        <v>27000</v>
      </c>
      <c r="I21">
        <f>IF($B$7=1, 'Vstupní hodnoty'!J$4*(2/3)/30*Model!D21, 0)</f>
        <v>0</v>
      </c>
      <c r="J21">
        <f>IF(Model!$B$5&gt;12,'Vstupní hodnoty'!$H$8*Model!D21,IF(Model!$B$5&gt;9,'Vstupní hodnoty'!$H$7*Model!D21,IF(Model!$B$5&gt;6,'Vstupní hodnoty'!$H$6*Model!D21,IF(Model!$B$5&gt;3,'Vstupní hodnoty'!$H$5*Model!D21,IF(Model!$B$5&gt;1,'Vstupní hodnoty'!$H$4*Model!D21,0)))))</f>
        <v>4788</v>
      </c>
      <c r="K21" s="5">
        <f>F21+G21+H21+E21*'Vstupní hodnoty'!L$4+J21*'Vstupní hodnoty'!L$4+I21*'Vstupní hodnoty'!L$4</f>
        <v>87619.133333333346</v>
      </c>
      <c r="L21" s="5">
        <f t="shared" si="1"/>
        <v>3129.2547619047623</v>
      </c>
      <c r="X21" s="14">
        <v>28</v>
      </c>
      <c r="Y21" s="5">
        <f>INDEX('Vstupní hodnoty'!$A$4:$A$15, MATCH(Model!$V$2,'Vstupní hodnoty'!$B$4:$B$15,0))/30*(X21+1*X21/7)</f>
        <v>49205.333333333336</v>
      </c>
      <c r="Z21">
        <f t="shared" si="2"/>
        <v>0</v>
      </c>
      <c r="AA21">
        <f t="shared" si="3"/>
        <v>24000</v>
      </c>
      <c r="AB21">
        <f>IF(X21&lt;14, 0, IF(AND(X21&gt;20,$V$4&lt;3,$V$3&lt;2), 'Vstupní hodnoty'!$I$6, IF(AND(X21&gt;20, $V$4&lt;4, $V$3&lt;4), 'Vstupní hodnoty'!$I$5, 'Vstupní hodnoty'!$I$4)))</f>
        <v>27000</v>
      </c>
      <c r="AC21">
        <f>IF($V$7=1, 'Vstupní hodnoty'!$J$4*(2/3)/30*Model!X21, 0)</f>
        <v>0</v>
      </c>
      <c r="AD21">
        <f>IF(Model!$V$5&gt;12,'Vstupní hodnoty'!$H$8*Model!X21,IF(Model!$V$5&gt;9,'Vstupní hodnoty'!$H$7*Model!X21,IF(Model!$V$5&gt;6,'Vstupní hodnoty'!$H$6*Model!X21,IF(Model!$V$5&gt;3,'Vstupní hodnoty'!$H$5*Model!X21,IF(Model!$V$5&gt;1,'Vstupní hodnoty'!$H$4*Model!X21,0)))))</f>
        <v>7196</v>
      </c>
      <c r="AE21" s="5">
        <f>Z21+AA21+AB21+Y21*'Vstupní hodnoty'!L$4+AD21*'Vstupní hodnoty'!L$4+AC21*'Vstupní hodnoty'!L$4</f>
        <v>98941.133333333331</v>
      </c>
      <c r="AF21" s="5">
        <f t="shared" si="4"/>
        <v>3533.6119047619045</v>
      </c>
      <c r="AK21" s="14">
        <v>28</v>
      </c>
      <c r="AL21" s="5">
        <f>INDEX('Vstupní hodnoty'!$A$4:$A$15, MATCH(Model!$AI$2,'Vstupní hodnoty'!$B$4:$B$15,0))/30*(AK21+1*AK21/7)</f>
        <v>49205.333333333336</v>
      </c>
      <c r="AM21">
        <f t="shared" si="5"/>
        <v>0</v>
      </c>
      <c r="AN21">
        <f t="shared" si="6"/>
        <v>24000</v>
      </c>
      <c r="AO21">
        <f>IF(OR(AK21&lt;14, AI$3=4, AI$4=4),0,IF(AK21&lt;21,'Vstupní hodnoty'!N$4,IF(AK21&lt;28,'Vstupní hodnoty'!N$5,IF(AK21&lt;35,'Vstupní hodnoty'!N$6,'Vstupní hodnoty'!N$6))))+IF(OR(AK21&lt;21, AI$4=4),0,IF(AI$3&lt;2,'Vstupní hodnoty'!O$6*'Vstupní hodnoty'!$A$17*(AK21-20),IF(Model!AI$3&lt;3,'Vstupní hodnoty'!O$5*'Vstupní hodnoty'!$A$17*(AK21-20),IF(Model!AI$3&lt;4,'Vstupní hodnoty'!O$4*'Vstupní hodnoty'!$A$17*(AK21-20),0))))+IF(OR(AK21&lt;21, AI$3=4), 0, IF(AI$4=1, 'Vstupní hodnoty'!P$6, IF(Model!AI$4=2, 'Vstupní hodnoty'!P$5, IF(Model!AI$4=3, 'Vstupní hodnoty'!P$4, 0))))</f>
        <v>45344</v>
      </c>
      <c r="AP21">
        <f>IF($AI$7=1, 'Vstupní hodnoty'!J$4*(2/3)/30*Model!AK21, 0)</f>
        <v>0</v>
      </c>
      <c r="AQ21">
        <f>IF(Model!$AI$5&gt;12,'Vstupní hodnoty'!$H$8*Model!AK21,IF(Model!$AI$5&gt;9,'Vstupní hodnoty'!$H$7*Model!AK21,IF(Model!$AI$5&gt;6,'Vstupní hodnoty'!$H$6*Model!AK21,IF(Model!$AI$5&gt;3,'Vstupní hodnoty'!$H$5*Model!AK21,IF(Model!$AI$5&gt;1,'Vstupní hodnoty'!$H$4*Model!AK21,0)))))</f>
        <v>7196</v>
      </c>
      <c r="AR21" s="5">
        <f>AM21+AN21+AO21+AL21*'Vstupní hodnoty'!L$4+AQ21*'Vstupní hodnoty'!L$4+AP21*'Vstupní hodnoty'!L$4</f>
        <v>117285.13333333333</v>
      </c>
      <c r="AS21" s="5">
        <f t="shared" si="7"/>
        <v>4188.7547619047618</v>
      </c>
      <c r="AX21" s="14">
        <v>28</v>
      </c>
      <c r="AY21" s="5">
        <f>INDEX('Vstupní hodnoty'!$A$4:$A$15, MATCH(Model!$AV$2,'Vstupní hodnoty'!$B$4:$B$15,0))/30*(AX21+1*AX21/7)</f>
        <v>38293.333333333336</v>
      </c>
      <c r="AZ21">
        <f t="shared" si="8"/>
        <v>0</v>
      </c>
      <c r="BA21">
        <f t="shared" si="9"/>
        <v>24000</v>
      </c>
      <c r="BB21" s="5">
        <f>IF(OR(AV$3=4,AV$4=4),0,'Roční bonus alt 2'!D20)+IF(OR(AX21&lt;21,AV$3=4,AV$4=4),0,IF(AV$3&lt;2,'Vstupní hodnoty'!O$6*'Vstupní hodnoty'!$A$17*(Model!AX21-20),IF(Model!AV$3&lt;3,'Vstupní hodnoty'!O$5*'Vstupní hodnoty'!$A$17*(Model!AX21-20),IF(Model!AV$3&lt;4,'Vstupní hodnoty'!O$4*'Vstupní hodnoty'!$A$17*(Model!AX21-20),0))))+IF(OR(AX21&lt;21,AV$3=4,AV$4=4),0,IF(AV$4=1,'Vstupní hodnoty'!P$6,IF(Model!AV$4=2,'Vstupní hodnoty'!P$5,IF(Model!AV$4=3,'Vstupní hodnoty'!P$4,0))))</f>
        <v>32864</v>
      </c>
      <c r="BC21">
        <f>IF($AV$7=1, 'Vstupní hodnoty'!J$4*(2/3)/30*Model!AX21, 0)</f>
        <v>0</v>
      </c>
      <c r="BD21">
        <f>IF(Model!$AV$5&gt;12,'Vstupní hodnoty'!$Q$8*Model!AX21,IF(Model!$AV$5&gt;9,'Vstupní hodnoty'!$Q$7*Model!AX21,IF(Model!$AV$5&gt;6,'Vstupní hodnoty'!$Q$6*Model!AX21,IF(Model!$AV$5&gt;3,'Vstupní hodnoty'!$Q$5*Model!AX21,IF(Model!$AV$5&gt;1,'Vstupní hodnoty'!$Q$4*Model!AX21,0)))))</f>
        <v>8736</v>
      </c>
      <c r="BE21" s="5">
        <f>AZ21+BA21+BB21+AY21*'Vstupní hodnoty'!L$4+BD21*'Vstupní hodnoty'!L$4+BC21*'Vstupní hodnoty'!L$4</f>
        <v>96838.933333333349</v>
      </c>
      <c r="BF21" s="5">
        <f t="shared" si="10"/>
        <v>3458.5333333333338</v>
      </c>
    </row>
    <row r="22" spans="4:58" x14ac:dyDescent="0.2">
      <c r="D22" s="14">
        <v>29</v>
      </c>
      <c r="E22" s="5">
        <f>INDEX('Vstupní hodnoty'!$A$4:$A$15, MATCH(Model!$B$2,'Vstupní hodnoty'!$B$4:$B$15,0))/30*(D22+1*D22/7)</f>
        <v>39660.952380952389</v>
      </c>
      <c r="F22">
        <f t="shared" si="0"/>
        <v>0</v>
      </c>
      <c r="G22">
        <f t="shared" si="11"/>
        <v>24000</v>
      </c>
      <c r="H22">
        <f>IF(D22&lt;14, 0, IF(AND(D22&gt;20,$B$4&lt;3,$B$3&lt;2), 'Vstupní hodnoty'!K$6, IF(AND(D22&gt;20, $B$4&lt;3, $B$3&lt;4), 'Vstupní hodnoty'!$K$5, 'Vstupní hodnoty'!$K$4)))</f>
        <v>27000</v>
      </c>
      <c r="I22">
        <f>IF($B$7=1, 'Vstupní hodnoty'!J$4*(2/3)/30*Model!D22, 0)</f>
        <v>0</v>
      </c>
      <c r="J22">
        <f>IF(Model!$B$5&gt;12,'Vstupní hodnoty'!$H$8*Model!D22,IF(Model!$B$5&gt;9,'Vstupní hodnoty'!$H$7*Model!D22,IF(Model!$B$5&gt;6,'Vstupní hodnoty'!$H$6*Model!D22,IF(Model!$B$5&gt;3,'Vstupní hodnoty'!$H$5*Model!D22,IF(Model!$B$5&gt;1,'Vstupní hodnoty'!$H$4*Model!D22,0)))))</f>
        <v>4959</v>
      </c>
      <c r="K22" s="5">
        <f>F22+G22+H22+E22*'Vstupní hodnoty'!L$4+J22*'Vstupní hodnoty'!L$4+I22*'Vstupní hodnoty'!L$4</f>
        <v>88926.959523809521</v>
      </c>
      <c r="L22" s="5">
        <f t="shared" si="1"/>
        <v>3066.4468801313628</v>
      </c>
      <c r="X22" s="14">
        <v>29</v>
      </c>
      <c r="Y22" s="5">
        <f>INDEX('Vstupní hodnoty'!$A$4:$A$15, MATCH(Model!$V$2,'Vstupní hodnoty'!$B$4:$B$15,0))/30*(X22+1*X22/7)</f>
        <v>50962.666666666672</v>
      </c>
      <c r="Z22">
        <f t="shared" si="2"/>
        <v>0</v>
      </c>
      <c r="AA22">
        <f t="shared" si="3"/>
        <v>24000</v>
      </c>
      <c r="AB22">
        <f>IF(X22&lt;14, 0, IF(AND(X22&gt;20,$V$4&lt;3,$V$3&lt;2), 'Vstupní hodnoty'!$I$6, IF(AND(X22&gt;20, $V$4&lt;4, $V$3&lt;4), 'Vstupní hodnoty'!$I$5, 'Vstupní hodnoty'!$I$4)))</f>
        <v>27000</v>
      </c>
      <c r="AC22">
        <f>IF($V$7=1, 'Vstupní hodnoty'!$J$4*(2/3)/30*Model!X22, 0)</f>
        <v>0</v>
      </c>
      <c r="AD22">
        <f>IF(Model!$V$5&gt;12,'Vstupní hodnoty'!$H$8*Model!X22,IF(Model!$V$5&gt;9,'Vstupní hodnoty'!$H$7*Model!X22,IF(Model!$V$5&gt;6,'Vstupní hodnoty'!$H$6*Model!X22,IF(Model!$V$5&gt;3,'Vstupní hodnoty'!$H$5*Model!X22,IF(Model!$V$5&gt;1,'Vstupní hodnoty'!$H$4*Model!X22,0)))))</f>
        <v>7453</v>
      </c>
      <c r="AE22" s="5">
        <f>Z22+AA22+AB22+Y22*'Vstupní hodnoty'!L$4+AD22*'Vstupní hodnoty'!L$4+AC22*'Vstupní hodnoty'!L$4</f>
        <v>100653.31666666667</v>
      </c>
      <c r="AF22" s="5">
        <f t="shared" si="4"/>
        <v>3470.8040229885055</v>
      </c>
      <c r="AK22" s="14">
        <v>29</v>
      </c>
      <c r="AL22" s="5">
        <f>INDEX('Vstupní hodnoty'!$A$4:$A$15, MATCH(Model!$AI$2,'Vstupní hodnoty'!$B$4:$B$15,0))/30*(AK22+1*AK22/7)</f>
        <v>50962.666666666672</v>
      </c>
      <c r="AM22">
        <f t="shared" si="5"/>
        <v>0</v>
      </c>
      <c r="AN22">
        <f t="shared" si="6"/>
        <v>24000</v>
      </c>
      <c r="AO22">
        <f>IF(OR(AK22&lt;14, AI$3=4, AI$4=4),0,IF(AK22&lt;21,'Vstupní hodnoty'!N$4,IF(AK22&lt;28,'Vstupní hodnoty'!N$5,IF(AK22&lt;35,'Vstupní hodnoty'!N$6,'Vstupní hodnoty'!N$6))))+IF(OR(AK22&lt;21, AI$4=4),0,IF(AI$3&lt;2,'Vstupní hodnoty'!O$6*'Vstupní hodnoty'!$A$17*(AK22-20),IF(Model!AI$3&lt;3,'Vstupní hodnoty'!O$5*'Vstupní hodnoty'!$A$17*(AK22-20),IF(Model!AI$3&lt;4,'Vstupní hodnoty'!O$4*'Vstupní hodnoty'!$A$17*(AK22-20),0))))+IF(OR(AK22&lt;21, AI$3=4), 0, IF(AI$4=1, 'Vstupní hodnoty'!P$6, IF(Model!AI$4=2, 'Vstupní hodnoty'!P$5, IF(Model!AI$4=3, 'Vstupní hodnoty'!P$4, 0))))</f>
        <v>45552</v>
      </c>
      <c r="AP22">
        <f>IF($AI$7=1, 'Vstupní hodnoty'!J$4*(2/3)/30*Model!AK22, 0)</f>
        <v>0</v>
      </c>
      <c r="AQ22">
        <f>IF(Model!$AI$5&gt;12,'Vstupní hodnoty'!$H$8*Model!AK22,IF(Model!$AI$5&gt;9,'Vstupní hodnoty'!$H$7*Model!AK22,IF(Model!$AI$5&gt;6,'Vstupní hodnoty'!$H$6*Model!AK22,IF(Model!$AI$5&gt;3,'Vstupní hodnoty'!$H$5*Model!AK22,IF(Model!$AI$5&gt;1,'Vstupní hodnoty'!$H$4*Model!AK22,0)))))</f>
        <v>7453</v>
      </c>
      <c r="AR22" s="5">
        <f>AM22+AN22+AO22+AL22*'Vstupní hodnoty'!L$4+AQ22*'Vstupní hodnoty'!L$4+AP22*'Vstupní hodnoty'!L$4</f>
        <v>119205.31666666667</v>
      </c>
      <c r="AS22" s="5">
        <f t="shared" si="7"/>
        <v>4110.5281609195399</v>
      </c>
      <c r="AX22" s="14">
        <v>29</v>
      </c>
      <c r="AY22" s="5">
        <f>INDEX('Vstupní hodnoty'!$A$4:$A$15, MATCH(Model!$AV$2,'Vstupní hodnoty'!$B$4:$B$15,0))/30*(AX22+1*AX22/7)</f>
        <v>39660.952380952389</v>
      </c>
      <c r="AZ22">
        <f t="shared" si="8"/>
        <v>0</v>
      </c>
      <c r="BA22">
        <f t="shared" si="9"/>
        <v>24000</v>
      </c>
      <c r="BB22" s="5">
        <f>IF(OR(AV$3=4,AV$4=4),0,'Roční bonus alt 2'!D21)+IF(OR(AX22&lt;21,AV$3=4,AV$4=4),0,IF(AV$3&lt;2,'Vstupní hodnoty'!O$6*'Vstupní hodnoty'!$A$17*(Model!AX22-20),IF(Model!AV$3&lt;3,'Vstupní hodnoty'!O$5*'Vstupní hodnoty'!$A$17*(Model!AX22-20),IF(Model!AV$3&lt;4,'Vstupní hodnoty'!O$4*'Vstupní hodnoty'!$A$17*(Model!AX22-20),0))))+IF(OR(AX22&lt;21,AV$3=4,AV$4=4),0,IF(AV$4=1,'Vstupní hodnoty'!P$6,IF(Model!AV$4=2,'Vstupní hodnoty'!P$5,IF(Model!AV$4=3,'Vstupní hodnoty'!P$4,0))))</f>
        <v>34458.666666666664</v>
      </c>
      <c r="BC22">
        <f>IF($AV$7=1, 'Vstupní hodnoty'!J$4*(2/3)/30*Model!AX22, 0)</f>
        <v>0</v>
      </c>
      <c r="BD22">
        <f>IF(Model!$AV$5&gt;12,'Vstupní hodnoty'!$Q$8*Model!AX22,IF(Model!$AV$5&gt;9,'Vstupní hodnoty'!$Q$7*Model!AX22,IF(Model!$AV$5&gt;6,'Vstupní hodnoty'!$Q$6*Model!AX22,IF(Model!$AV$5&gt;3,'Vstupní hodnoty'!$Q$5*Model!AX22,IF(Model!$AV$5&gt;1,'Vstupní hodnoty'!$Q$4*Model!AX22,0)))))</f>
        <v>9048</v>
      </c>
      <c r="BE22" s="5">
        <f>AZ22+BA22+BB22+AY22*'Vstupní hodnoty'!L$4+BD22*'Vstupní hodnoty'!L$4+BC22*'Vstupní hodnoty'!L$4</f>
        <v>99861.276190476186</v>
      </c>
      <c r="BF22" s="5">
        <f t="shared" si="10"/>
        <v>3443.4922824302134</v>
      </c>
    </row>
    <row r="23" spans="4:58" x14ac:dyDescent="0.2">
      <c r="D23" s="14">
        <v>30</v>
      </c>
      <c r="E23" s="5">
        <f>INDEX('Vstupní hodnoty'!$A$4:$A$15, MATCH(Model!$B$2,'Vstupní hodnoty'!$B$4:$B$15,0))/30*(D23+1*D23/7)</f>
        <v>41028.571428571428</v>
      </c>
      <c r="F23">
        <f t="shared" si="0"/>
        <v>0</v>
      </c>
      <c r="G23">
        <f t="shared" si="11"/>
        <v>24000</v>
      </c>
      <c r="H23">
        <f>IF(D23&lt;14, 0, IF(AND(D23&gt;20,$B$4&lt;3,$B$3&lt;2), 'Vstupní hodnoty'!K$6, IF(AND(D23&gt;20, $B$4&lt;3, $B$3&lt;4), 'Vstupní hodnoty'!$K$5, 'Vstupní hodnoty'!$K$4)))</f>
        <v>27000</v>
      </c>
      <c r="I23">
        <f>IF($B$7=1, 'Vstupní hodnoty'!J$4*(2/3)/30*Model!D23, 0)</f>
        <v>0</v>
      </c>
      <c r="J23">
        <f>IF(Model!$B$5&gt;12,'Vstupní hodnoty'!$H$8*Model!D23,IF(Model!$B$5&gt;9,'Vstupní hodnoty'!$H$7*Model!D23,IF(Model!$B$5&gt;6,'Vstupní hodnoty'!$H$6*Model!D23,IF(Model!$B$5&gt;3,'Vstupní hodnoty'!$H$5*Model!D23,IF(Model!$B$5&gt;1,'Vstupní hodnoty'!$H$4*Model!D23,0)))))</f>
        <v>5130</v>
      </c>
      <c r="K23" s="5">
        <f>F23+G23+H23+E23*'Vstupní hodnoty'!L$4+J23*'Vstupní hodnoty'!L$4+I23*'Vstupní hodnoty'!L$4</f>
        <v>90234.78571428571</v>
      </c>
      <c r="L23" s="5">
        <f t="shared" si="1"/>
        <v>3007.8261904761903</v>
      </c>
      <c r="X23" s="14">
        <v>30</v>
      </c>
      <c r="Y23" s="5">
        <f>INDEX('Vstupní hodnoty'!$A$4:$A$15, MATCH(Model!$V$2,'Vstupní hodnoty'!$B$4:$B$15,0))/30*(X23+1*X23/7)</f>
        <v>52720</v>
      </c>
      <c r="Z23">
        <f t="shared" si="2"/>
        <v>0</v>
      </c>
      <c r="AA23">
        <f t="shared" si="3"/>
        <v>24000</v>
      </c>
      <c r="AB23">
        <f>IF(X23&lt;14, 0, IF(AND(X23&gt;20,$V$4&lt;3,$V$3&lt;2), 'Vstupní hodnoty'!$I$6, IF(AND(X23&gt;20, $V$4&lt;4, $V$3&lt;4), 'Vstupní hodnoty'!$I$5, 'Vstupní hodnoty'!$I$4)))</f>
        <v>27000</v>
      </c>
      <c r="AC23">
        <f>IF($V$7=1, 'Vstupní hodnoty'!$J$4*(2/3)/30*Model!X23, 0)</f>
        <v>0</v>
      </c>
      <c r="AD23">
        <f>IF(Model!$V$5&gt;12,'Vstupní hodnoty'!$H$8*Model!X23,IF(Model!$V$5&gt;9,'Vstupní hodnoty'!$H$7*Model!X23,IF(Model!$V$5&gt;6,'Vstupní hodnoty'!$H$6*Model!X23,IF(Model!$V$5&gt;3,'Vstupní hodnoty'!$H$5*Model!X23,IF(Model!$V$5&gt;1,'Vstupní hodnoty'!$H$4*Model!X23,0)))))</f>
        <v>7710</v>
      </c>
      <c r="AE23" s="5">
        <f>Z23+AA23+AB23+Y23*'Vstupní hodnoty'!L$4+AD23*'Vstupní hodnoty'!L$4+AC23*'Vstupní hodnoty'!L$4</f>
        <v>102365.5</v>
      </c>
      <c r="AF23" s="5">
        <f t="shared" si="4"/>
        <v>3412.1833333333334</v>
      </c>
      <c r="AK23" s="14">
        <v>30</v>
      </c>
      <c r="AL23" s="5">
        <f>INDEX('Vstupní hodnoty'!$A$4:$A$15, MATCH(Model!$AI$2,'Vstupní hodnoty'!$B$4:$B$15,0))/30*(AK23+1*AK23/7)</f>
        <v>52720</v>
      </c>
      <c r="AM23">
        <f t="shared" si="5"/>
        <v>0</v>
      </c>
      <c r="AN23">
        <f t="shared" si="6"/>
        <v>24000</v>
      </c>
      <c r="AO23">
        <f>IF(OR(AK23&lt;14, AI$3=4, AI$4=4),0,IF(AK23&lt;21,'Vstupní hodnoty'!N$4,IF(AK23&lt;28,'Vstupní hodnoty'!N$5,IF(AK23&lt;35,'Vstupní hodnoty'!N$6,'Vstupní hodnoty'!N$6))))+IF(OR(AK23&lt;21, AI$4=4),0,IF(AI$3&lt;2,'Vstupní hodnoty'!O$6*'Vstupní hodnoty'!$A$17*(AK23-20),IF(Model!AI$3&lt;3,'Vstupní hodnoty'!O$5*'Vstupní hodnoty'!$A$17*(AK23-20),IF(Model!AI$3&lt;4,'Vstupní hodnoty'!O$4*'Vstupní hodnoty'!$A$17*(AK23-20),0))))+IF(OR(AK23&lt;21, AI$3=4), 0, IF(AI$4=1, 'Vstupní hodnoty'!P$6, IF(Model!AI$4=2, 'Vstupní hodnoty'!P$5, IF(Model!AI$4=3, 'Vstupní hodnoty'!P$4, 0))))</f>
        <v>45760</v>
      </c>
      <c r="AP23">
        <f>IF($AI$7=1, 'Vstupní hodnoty'!J$4*(2/3)/30*Model!AK23, 0)</f>
        <v>0</v>
      </c>
      <c r="AQ23">
        <f>IF(Model!$AI$5&gt;12,'Vstupní hodnoty'!$H$8*Model!AK23,IF(Model!$AI$5&gt;9,'Vstupní hodnoty'!$H$7*Model!AK23,IF(Model!$AI$5&gt;6,'Vstupní hodnoty'!$H$6*Model!AK23,IF(Model!$AI$5&gt;3,'Vstupní hodnoty'!$H$5*Model!AK23,IF(Model!$AI$5&gt;1,'Vstupní hodnoty'!$H$4*Model!AK23,0)))))</f>
        <v>7710</v>
      </c>
      <c r="AR23" s="5">
        <f>AM23+AN23+AO23+AL23*'Vstupní hodnoty'!L$4+AQ23*'Vstupní hodnoty'!L$4+AP23*'Vstupní hodnoty'!L$4</f>
        <v>121125.5</v>
      </c>
      <c r="AS23" s="5">
        <f t="shared" si="7"/>
        <v>4037.5166666666669</v>
      </c>
      <c r="AX23" s="14">
        <v>30</v>
      </c>
      <c r="AY23" s="5">
        <f>INDEX('Vstupní hodnoty'!$A$4:$A$15, MATCH(Model!$AV$2,'Vstupní hodnoty'!$B$4:$B$15,0))/30*(AX23+1*AX23/7)</f>
        <v>41028.571428571428</v>
      </c>
      <c r="AZ23">
        <f t="shared" si="8"/>
        <v>0</v>
      </c>
      <c r="BA23">
        <f t="shared" si="9"/>
        <v>24000</v>
      </c>
      <c r="BB23" s="5">
        <f>IF(OR(AV$3=4,AV$4=4),0,'Roční bonus alt 2'!D22)+IF(OR(AX23&lt;21,AV$3=4,AV$4=4),0,IF(AV$3&lt;2,'Vstupní hodnoty'!O$6*'Vstupní hodnoty'!$A$17*(Model!AX23-20),IF(Model!AV$3&lt;3,'Vstupní hodnoty'!O$5*'Vstupní hodnoty'!$A$17*(Model!AX23-20),IF(Model!AV$3&lt;4,'Vstupní hodnoty'!O$4*'Vstupní hodnoty'!$A$17*(Model!AX23-20),0))))+IF(OR(AX23&lt;21,AV$3=4,AV$4=4),0,IF(AV$4=1,'Vstupní hodnoty'!P$6,IF(Model!AV$4=2,'Vstupní hodnoty'!P$5,IF(Model!AV$4=3,'Vstupní hodnoty'!P$4,0))))</f>
        <v>36053.333333333336</v>
      </c>
      <c r="BC23">
        <f>IF($AV$7=1, 'Vstupní hodnoty'!J$4*(2/3)/30*Model!AX23, 0)</f>
        <v>0</v>
      </c>
      <c r="BD23">
        <f>IF(Model!$AV$5&gt;12,'Vstupní hodnoty'!$Q$8*Model!AX23,IF(Model!$AV$5&gt;9,'Vstupní hodnoty'!$Q$7*Model!AX23,IF(Model!$AV$5&gt;6,'Vstupní hodnoty'!$Q$6*Model!AX23,IF(Model!$AV$5&gt;3,'Vstupní hodnoty'!$Q$5*Model!AX23,IF(Model!$AV$5&gt;1,'Vstupní hodnoty'!$Q$4*Model!AX23,0)))))</f>
        <v>9360</v>
      </c>
      <c r="BE23" s="5">
        <f>AZ23+BA23+BB23+AY23*'Vstupní hodnoty'!L$4+BD23*'Vstupní hodnoty'!L$4+BC23*'Vstupní hodnoty'!L$4</f>
        <v>102883.61904761905</v>
      </c>
      <c r="BF23" s="5">
        <f t="shared" si="10"/>
        <v>3429.4539682539685</v>
      </c>
    </row>
    <row r="24" spans="4:58" x14ac:dyDescent="0.2">
      <c r="D24" s="14">
        <v>31</v>
      </c>
      <c r="E24" s="5">
        <f>INDEX('Vstupní hodnoty'!$A$4:$A$15, MATCH(Model!$B$2,'Vstupní hodnoty'!$B$4:$B$15,0))/30*(D24+1*D24/7)</f>
        <v>42396.190476190481</v>
      </c>
      <c r="F24">
        <f t="shared" si="0"/>
        <v>0</v>
      </c>
      <c r="G24">
        <f t="shared" si="11"/>
        <v>24000</v>
      </c>
      <c r="H24">
        <f>IF(D24&lt;14, 0, IF(AND(D24&gt;20,$B$4&lt;3,$B$3&lt;2), 'Vstupní hodnoty'!K$6, IF(AND(D24&gt;20, $B$4&lt;3, $B$3&lt;4), 'Vstupní hodnoty'!$K$5, 'Vstupní hodnoty'!$K$4)))</f>
        <v>27000</v>
      </c>
      <c r="I24">
        <f>IF($B$7=1, 'Vstupní hodnoty'!J$4*(2/3)/30*Model!D24, 0)</f>
        <v>0</v>
      </c>
      <c r="J24">
        <f>IF(Model!$B$5&gt;12,'Vstupní hodnoty'!$H$8*Model!D24,IF(Model!$B$5&gt;9,'Vstupní hodnoty'!$H$7*Model!D24,IF(Model!$B$5&gt;6,'Vstupní hodnoty'!$H$6*Model!D24,IF(Model!$B$5&gt;3,'Vstupní hodnoty'!$H$5*Model!D24,IF(Model!$B$5&gt;1,'Vstupní hodnoty'!$H$4*Model!D24,0)))))</f>
        <v>5301</v>
      </c>
      <c r="K24" s="5">
        <f>F24+G24+H24+E24*'Vstupní hodnoty'!L$4+J24*'Vstupní hodnoty'!L$4+I24*'Vstupní hodnoty'!L$4</f>
        <v>91542.611904761914</v>
      </c>
      <c r="L24" s="5">
        <f t="shared" si="1"/>
        <v>2952.9874807987712</v>
      </c>
      <c r="X24" s="14">
        <v>31</v>
      </c>
      <c r="Y24" s="5">
        <f>INDEX('Vstupní hodnoty'!$A$4:$A$15, MATCH(Model!$V$2,'Vstupní hodnoty'!$B$4:$B$15,0))/30*(X24+1*X24/7)</f>
        <v>54477.333333333336</v>
      </c>
      <c r="Z24">
        <f t="shared" si="2"/>
        <v>0</v>
      </c>
      <c r="AA24">
        <f t="shared" si="3"/>
        <v>24000</v>
      </c>
      <c r="AB24">
        <f>IF(X24&lt;14, 0, IF(AND(X24&gt;20,$V$4&lt;3,$V$3&lt;2), 'Vstupní hodnoty'!$I$6, IF(AND(X24&gt;20, $V$4&lt;4, $V$3&lt;4), 'Vstupní hodnoty'!$I$5, 'Vstupní hodnoty'!$I$4)))</f>
        <v>27000</v>
      </c>
      <c r="AC24">
        <f>IF($V$7=1, 'Vstupní hodnoty'!$J$4*(2/3)/30*Model!X24, 0)</f>
        <v>0</v>
      </c>
      <c r="AD24">
        <f>IF(Model!$V$5&gt;12,'Vstupní hodnoty'!$H$8*Model!X24,IF(Model!$V$5&gt;9,'Vstupní hodnoty'!$H$7*Model!X24,IF(Model!$V$5&gt;6,'Vstupní hodnoty'!$H$6*Model!X24,IF(Model!$V$5&gt;3,'Vstupní hodnoty'!$H$5*Model!X24,IF(Model!$V$5&gt;1,'Vstupní hodnoty'!$H$4*Model!X24,0)))))</f>
        <v>7967</v>
      </c>
      <c r="AE24" s="5">
        <f>Z24+AA24+AB24+Y24*'Vstupní hodnoty'!L$4+AD24*'Vstupní hodnoty'!L$4+AC24*'Vstupní hodnoty'!L$4</f>
        <v>104077.68333333333</v>
      </c>
      <c r="AF24" s="5">
        <f t="shared" si="4"/>
        <v>3357.3446236559139</v>
      </c>
      <c r="AK24" s="14">
        <v>31</v>
      </c>
      <c r="AL24" s="5">
        <f>INDEX('Vstupní hodnoty'!$A$4:$A$15, MATCH(Model!$AI$2,'Vstupní hodnoty'!$B$4:$B$15,0))/30*(AK24+1*AK24/7)</f>
        <v>54477.333333333336</v>
      </c>
      <c r="AM24">
        <f t="shared" si="5"/>
        <v>0</v>
      </c>
      <c r="AN24">
        <f t="shared" si="6"/>
        <v>24000</v>
      </c>
      <c r="AO24">
        <f>IF(OR(AK24&lt;14, AI$3=4, AI$4=4),0,IF(AK24&lt;21,'Vstupní hodnoty'!N$4,IF(AK24&lt;28,'Vstupní hodnoty'!N$5,IF(AK24&lt;35,'Vstupní hodnoty'!N$6,'Vstupní hodnoty'!N$6))))+IF(OR(AK24&lt;21, AI$4=4),0,IF(AI$3&lt;2,'Vstupní hodnoty'!O$6*'Vstupní hodnoty'!$A$17*(AK24-20),IF(Model!AI$3&lt;3,'Vstupní hodnoty'!O$5*'Vstupní hodnoty'!$A$17*(AK24-20),IF(Model!AI$3&lt;4,'Vstupní hodnoty'!O$4*'Vstupní hodnoty'!$A$17*(AK24-20),0))))+IF(OR(AK24&lt;21, AI$3=4), 0, IF(AI$4=1, 'Vstupní hodnoty'!P$6, IF(Model!AI$4=2, 'Vstupní hodnoty'!P$5, IF(Model!AI$4=3, 'Vstupní hodnoty'!P$4, 0))))</f>
        <v>45968</v>
      </c>
      <c r="AP24">
        <f>IF($AI$7=1, 'Vstupní hodnoty'!J$4*(2/3)/30*Model!AK24, 0)</f>
        <v>0</v>
      </c>
      <c r="AQ24">
        <f>IF(Model!$AI$5&gt;12,'Vstupní hodnoty'!$H$8*Model!AK24,IF(Model!$AI$5&gt;9,'Vstupní hodnoty'!$H$7*Model!AK24,IF(Model!$AI$5&gt;6,'Vstupní hodnoty'!$H$6*Model!AK24,IF(Model!$AI$5&gt;3,'Vstupní hodnoty'!$H$5*Model!AK24,IF(Model!$AI$5&gt;1,'Vstupní hodnoty'!$H$4*Model!AK24,0)))))</f>
        <v>7967</v>
      </c>
      <c r="AR24" s="5">
        <f>AM24+AN24+AO24+AL24*'Vstupní hodnoty'!L$4+AQ24*'Vstupní hodnoty'!L$4+AP24*'Vstupní hodnoty'!L$4</f>
        <v>123045.68333333333</v>
      </c>
      <c r="AS24" s="5">
        <f t="shared" si="7"/>
        <v>3969.2155913978495</v>
      </c>
      <c r="AX24" s="14">
        <v>31</v>
      </c>
      <c r="AY24" s="5">
        <f>INDEX('Vstupní hodnoty'!$A$4:$A$15, MATCH(Model!$AV$2,'Vstupní hodnoty'!$B$4:$B$15,0))/30*(AX24+1*AX24/7)</f>
        <v>42396.190476190481</v>
      </c>
      <c r="AZ24">
        <f t="shared" si="8"/>
        <v>0</v>
      </c>
      <c r="BA24">
        <f t="shared" si="9"/>
        <v>24000</v>
      </c>
      <c r="BB24" s="5">
        <f>IF(OR(AV$3=4,AV$4=4),0,'Roční bonus alt 2'!D23)+IF(OR(AX24&lt;21,AV$3=4,AV$4=4),0,IF(AV$3&lt;2,'Vstupní hodnoty'!O$6*'Vstupní hodnoty'!$A$17*(Model!AX24-20),IF(Model!AV$3&lt;3,'Vstupní hodnoty'!O$5*'Vstupní hodnoty'!$A$17*(Model!AX24-20),IF(Model!AV$3&lt;4,'Vstupní hodnoty'!O$4*'Vstupní hodnoty'!$A$17*(Model!AX24-20),0))))+IF(OR(AX24&lt;21,AV$3=4,AV$4=4),0,IF(AV$4=1,'Vstupní hodnoty'!P$6,IF(Model!AV$4=2,'Vstupní hodnoty'!P$5,IF(Model!AV$4=3,'Vstupní hodnoty'!P$4,0))))</f>
        <v>37648</v>
      </c>
      <c r="BC24">
        <f>IF($AV$7=1, 'Vstupní hodnoty'!J$4*(2/3)/30*Model!AX24, 0)</f>
        <v>0</v>
      </c>
      <c r="BD24">
        <f>IF(Model!$AV$5&gt;12,'Vstupní hodnoty'!$Q$8*Model!AX24,IF(Model!$AV$5&gt;9,'Vstupní hodnoty'!$Q$7*Model!AX24,IF(Model!$AV$5&gt;6,'Vstupní hodnoty'!$Q$6*Model!AX24,IF(Model!$AV$5&gt;3,'Vstupní hodnoty'!$Q$5*Model!AX24,IF(Model!$AV$5&gt;1,'Vstupní hodnoty'!$Q$4*Model!AX24,0)))))</f>
        <v>9672</v>
      </c>
      <c r="BE24" s="5">
        <f>AZ24+BA24+BB24+AY24*'Vstupní hodnoty'!L$4+BD24*'Vstupní hodnoty'!L$4+BC24*'Vstupní hodnoty'!L$4</f>
        <v>105905.96190476191</v>
      </c>
      <c r="BF24" s="5">
        <f t="shared" si="10"/>
        <v>3416.3213517665131</v>
      </c>
    </row>
    <row r="25" spans="4:58" x14ac:dyDescent="0.2">
      <c r="D25" s="14">
        <v>32</v>
      </c>
      <c r="E25" s="5">
        <f>INDEX('Vstupní hodnoty'!$A$4:$A$15, MATCH(Model!$B$2,'Vstupní hodnoty'!$B$4:$B$15,0))/30*(D25+1*D25/7)</f>
        <v>43763.809523809527</v>
      </c>
      <c r="F25">
        <f t="shared" si="0"/>
        <v>0</v>
      </c>
      <c r="G25">
        <f t="shared" si="11"/>
        <v>24000</v>
      </c>
      <c r="H25">
        <f>IF(D25&lt;14, 0, IF(AND(D25&gt;20,$B$4&lt;3,$B$3&lt;2), 'Vstupní hodnoty'!K$6, IF(AND(D25&gt;20, $B$4&lt;3, $B$3&lt;4), 'Vstupní hodnoty'!$K$5, 'Vstupní hodnoty'!$K$4)))</f>
        <v>27000</v>
      </c>
      <c r="I25">
        <f>IF($B$7=1, 'Vstupní hodnoty'!J$4*(2/3)/30*Model!D25, 0)</f>
        <v>0</v>
      </c>
      <c r="J25">
        <f>IF(Model!$B$5&gt;12,'Vstupní hodnoty'!$H$8*Model!D25,IF(Model!$B$5&gt;9,'Vstupní hodnoty'!$H$7*Model!D25,IF(Model!$B$5&gt;6,'Vstupní hodnoty'!$H$6*Model!D25,IF(Model!$B$5&gt;3,'Vstupní hodnoty'!$H$5*Model!D25,IF(Model!$B$5&gt;1,'Vstupní hodnoty'!$H$4*Model!D25,0)))))</f>
        <v>5472</v>
      </c>
      <c r="K25" s="5">
        <f>F25+G25+H25+E25*'Vstupní hodnoty'!L$4+J25*'Vstupní hodnoty'!L$4+I25*'Vstupní hodnoty'!L$4</f>
        <v>92850.438095238103</v>
      </c>
      <c r="L25" s="5">
        <f t="shared" si="1"/>
        <v>2901.5761904761907</v>
      </c>
      <c r="X25" s="14">
        <v>32</v>
      </c>
      <c r="Y25" s="5">
        <f>INDEX('Vstupní hodnoty'!$A$4:$A$15, MATCH(Model!$V$2,'Vstupní hodnoty'!$B$4:$B$15,0))/30*(X25+1*X25/7)</f>
        <v>56234.666666666664</v>
      </c>
      <c r="Z25">
        <f t="shared" si="2"/>
        <v>0</v>
      </c>
      <c r="AA25">
        <f t="shared" si="3"/>
        <v>24000</v>
      </c>
      <c r="AB25">
        <f>IF(X25&lt;14, 0, IF(AND(X25&gt;20,$V$4&lt;3,$V$3&lt;2), 'Vstupní hodnoty'!$I$6, IF(AND(X25&gt;20, $V$4&lt;4, $V$3&lt;4), 'Vstupní hodnoty'!$I$5, 'Vstupní hodnoty'!$I$4)))</f>
        <v>27000</v>
      </c>
      <c r="AC25">
        <f>IF($V$7=1, 'Vstupní hodnoty'!$J$4*(2/3)/30*Model!X25, 0)</f>
        <v>0</v>
      </c>
      <c r="AD25">
        <f>IF(Model!$V$5&gt;12,'Vstupní hodnoty'!$H$8*Model!X25,IF(Model!$V$5&gt;9,'Vstupní hodnoty'!$H$7*Model!X25,IF(Model!$V$5&gt;6,'Vstupní hodnoty'!$H$6*Model!X25,IF(Model!$V$5&gt;3,'Vstupní hodnoty'!$H$5*Model!X25,IF(Model!$V$5&gt;1,'Vstupní hodnoty'!$H$4*Model!X25,0)))))</f>
        <v>8224</v>
      </c>
      <c r="AE25" s="5">
        <f>Z25+AA25+AB25+Y25*'Vstupní hodnoty'!L$4+AD25*'Vstupní hodnoty'!L$4+AC25*'Vstupní hodnoty'!L$4</f>
        <v>105789.86666666665</v>
      </c>
      <c r="AF25" s="5">
        <f t="shared" si="4"/>
        <v>3305.9333333333329</v>
      </c>
      <c r="AK25" s="14">
        <v>32</v>
      </c>
      <c r="AL25" s="5">
        <f>INDEX('Vstupní hodnoty'!$A$4:$A$15, MATCH(Model!$AI$2,'Vstupní hodnoty'!$B$4:$B$15,0))/30*(AK25+1*AK25/7)</f>
        <v>56234.666666666664</v>
      </c>
      <c r="AM25">
        <f t="shared" si="5"/>
        <v>0</v>
      </c>
      <c r="AN25">
        <f t="shared" si="6"/>
        <v>24000</v>
      </c>
      <c r="AO25">
        <f>IF(OR(AK25&lt;14, AI$3=4, AI$4=4),0,IF(AK25&lt;21,'Vstupní hodnoty'!N$4,IF(AK25&lt;28,'Vstupní hodnoty'!N$5,IF(AK25&lt;35,'Vstupní hodnoty'!N$6,'Vstupní hodnoty'!N$6))))+IF(OR(AK25&lt;21, AI$4=4),0,IF(AI$3&lt;2,'Vstupní hodnoty'!O$6*'Vstupní hodnoty'!$A$17*(AK25-20),IF(Model!AI$3&lt;3,'Vstupní hodnoty'!O$5*'Vstupní hodnoty'!$A$17*(AK25-20),IF(Model!AI$3&lt;4,'Vstupní hodnoty'!O$4*'Vstupní hodnoty'!$A$17*(AK25-20),0))))+IF(OR(AK25&lt;21, AI$3=4), 0, IF(AI$4=1, 'Vstupní hodnoty'!P$6, IF(Model!AI$4=2, 'Vstupní hodnoty'!P$5, IF(Model!AI$4=3, 'Vstupní hodnoty'!P$4, 0))))</f>
        <v>46176</v>
      </c>
      <c r="AP25">
        <f>IF($AI$7=1, 'Vstupní hodnoty'!J$4*(2/3)/30*Model!AK25, 0)</f>
        <v>0</v>
      </c>
      <c r="AQ25">
        <f>IF(Model!$AI$5&gt;12,'Vstupní hodnoty'!$H$8*Model!AK25,IF(Model!$AI$5&gt;9,'Vstupní hodnoty'!$H$7*Model!AK25,IF(Model!$AI$5&gt;6,'Vstupní hodnoty'!$H$6*Model!AK25,IF(Model!$AI$5&gt;3,'Vstupní hodnoty'!$H$5*Model!AK25,IF(Model!$AI$5&gt;1,'Vstupní hodnoty'!$H$4*Model!AK25,0)))))</f>
        <v>8224</v>
      </c>
      <c r="AR25" s="5">
        <f>AM25+AN25+AO25+AL25*'Vstupní hodnoty'!L$4+AQ25*'Vstupní hodnoty'!L$4+AP25*'Vstupní hodnoty'!L$4</f>
        <v>124965.86666666665</v>
      </c>
      <c r="AS25" s="5">
        <f t="shared" si="7"/>
        <v>3905.1833333333329</v>
      </c>
      <c r="AX25" s="14">
        <v>32</v>
      </c>
      <c r="AY25" s="5">
        <f>INDEX('Vstupní hodnoty'!$A$4:$A$15, MATCH(Model!$AV$2,'Vstupní hodnoty'!$B$4:$B$15,0))/30*(AX25+1*AX25/7)</f>
        <v>43763.809523809527</v>
      </c>
      <c r="AZ25">
        <f t="shared" si="8"/>
        <v>0</v>
      </c>
      <c r="BA25">
        <f t="shared" si="9"/>
        <v>24000</v>
      </c>
      <c r="BB25" s="5">
        <f>IF(OR(AV$3=4,AV$4=4),0,'Roční bonus alt 2'!D24)+IF(OR(AX25&lt;21,AV$3=4,AV$4=4),0,IF(AV$3&lt;2,'Vstupní hodnoty'!O$6*'Vstupní hodnoty'!$A$17*(Model!AX25-20),IF(Model!AV$3&lt;3,'Vstupní hodnoty'!O$5*'Vstupní hodnoty'!$A$17*(Model!AX25-20),IF(Model!AV$3&lt;4,'Vstupní hodnoty'!O$4*'Vstupní hodnoty'!$A$17*(Model!AX25-20),0))))+IF(OR(AX25&lt;21,AV$3=4,AV$4=4),0,IF(AV$4=1,'Vstupní hodnoty'!P$6,IF(Model!AV$4=2,'Vstupní hodnoty'!P$5,IF(Model!AV$4=3,'Vstupní hodnoty'!P$4,0))))</f>
        <v>39242.666666666672</v>
      </c>
      <c r="BC25">
        <f>IF($AV$7=1, 'Vstupní hodnoty'!J$4*(2/3)/30*Model!AX25, 0)</f>
        <v>0</v>
      </c>
      <c r="BD25">
        <f>IF(Model!$AV$5&gt;12,'Vstupní hodnoty'!$Q$8*Model!AX25,IF(Model!$AV$5&gt;9,'Vstupní hodnoty'!$Q$7*Model!AX25,IF(Model!$AV$5&gt;6,'Vstupní hodnoty'!$Q$6*Model!AX25,IF(Model!$AV$5&gt;3,'Vstupní hodnoty'!$Q$5*Model!AX25,IF(Model!$AV$5&gt;1,'Vstupní hodnoty'!$Q$4*Model!AX25,0)))))</f>
        <v>9984</v>
      </c>
      <c r="BE25" s="5">
        <f>AZ25+BA25+BB25+AY25*'Vstupní hodnoty'!L$4+BD25*'Vstupní hodnoty'!L$4+BC25*'Vstupní hodnoty'!L$4</f>
        <v>108928.30476190476</v>
      </c>
      <c r="BF25" s="5">
        <f t="shared" si="10"/>
        <v>3404.0095238095237</v>
      </c>
    </row>
    <row r="26" spans="4:58" x14ac:dyDescent="0.2">
      <c r="D26" s="14">
        <v>33</v>
      </c>
      <c r="E26" s="5">
        <f>INDEX('Vstupní hodnoty'!$A$4:$A$15, MATCH(Model!$B$2,'Vstupní hodnoty'!$B$4:$B$15,0))/30*(D26+1*D26/7)</f>
        <v>45131.428571428572</v>
      </c>
      <c r="F26">
        <f t="shared" si="0"/>
        <v>0</v>
      </c>
      <c r="G26">
        <f t="shared" si="11"/>
        <v>24000</v>
      </c>
      <c r="H26">
        <f>IF(D26&lt;14, 0, IF(AND(D26&gt;20,$B$4&lt;3,$B$3&lt;2), 'Vstupní hodnoty'!K$6, IF(AND(D26&gt;20, $B$4&lt;3, $B$3&lt;4), 'Vstupní hodnoty'!$K$5, 'Vstupní hodnoty'!$K$4)))</f>
        <v>27000</v>
      </c>
      <c r="I26">
        <f>IF($B$7=1, 'Vstupní hodnoty'!J$4*(2/3)/30*Model!D26, 0)</f>
        <v>0</v>
      </c>
      <c r="J26">
        <f>IF(Model!$B$5&gt;12,'Vstupní hodnoty'!$H$8*Model!D26,IF(Model!$B$5&gt;9,'Vstupní hodnoty'!$H$7*Model!D26,IF(Model!$B$5&gt;6,'Vstupní hodnoty'!$H$6*Model!D26,IF(Model!$B$5&gt;3,'Vstupní hodnoty'!$H$5*Model!D26,IF(Model!$B$5&gt;1,'Vstupní hodnoty'!$H$4*Model!D26,0)))))</f>
        <v>5643</v>
      </c>
      <c r="K26" s="5">
        <f>F26+G26+H26+E26*'Vstupní hodnoty'!L$4+J26*'Vstupní hodnoty'!L$4+I26*'Vstupní hodnoty'!L$4</f>
        <v>94158.264285714293</v>
      </c>
      <c r="L26" s="5">
        <f t="shared" si="1"/>
        <v>2853.2807359307362</v>
      </c>
      <c r="X26" s="14">
        <v>33</v>
      </c>
      <c r="Y26" s="5">
        <f>INDEX('Vstupní hodnoty'!$A$4:$A$15, MATCH(Model!$V$2,'Vstupní hodnoty'!$B$4:$B$15,0))/30*(X26+1*X26/7)</f>
        <v>57992.000000000007</v>
      </c>
      <c r="Z26">
        <f t="shared" si="2"/>
        <v>0</v>
      </c>
      <c r="AA26">
        <f t="shared" si="3"/>
        <v>24000</v>
      </c>
      <c r="AB26">
        <f>IF(X26&lt;14, 0, IF(AND(X26&gt;20,$V$4&lt;3,$V$3&lt;2), 'Vstupní hodnoty'!$I$6, IF(AND(X26&gt;20, $V$4&lt;4, $V$3&lt;4), 'Vstupní hodnoty'!$I$5, 'Vstupní hodnoty'!$I$4)))</f>
        <v>27000</v>
      </c>
      <c r="AC26">
        <f>IF($V$7=1, 'Vstupní hodnoty'!$J$4*(2/3)/30*Model!X26, 0)</f>
        <v>0</v>
      </c>
      <c r="AD26">
        <f>IF(Model!$V$5&gt;12,'Vstupní hodnoty'!$H$8*Model!X26,IF(Model!$V$5&gt;9,'Vstupní hodnoty'!$H$7*Model!X26,IF(Model!$V$5&gt;6,'Vstupní hodnoty'!$H$6*Model!X26,IF(Model!$V$5&gt;3,'Vstupní hodnoty'!$H$5*Model!X26,IF(Model!$V$5&gt;1,'Vstupní hodnoty'!$H$4*Model!X26,0)))))</f>
        <v>8481</v>
      </c>
      <c r="AE26" s="5">
        <f>Z26+AA26+AB26+Y26*'Vstupní hodnoty'!L$4+AD26*'Vstupní hodnoty'!L$4+AC26*'Vstupní hodnoty'!L$4</f>
        <v>107502.05000000002</v>
      </c>
      <c r="AF26" s="5">
        <f t="shared" si="4"/>
        <v>3257.6378787878793</v>
      </c>
      <c r="AK26" s="14">
        <v>33</v>
      </c>
      <c r="AL26" s="5">
        <f>INDEX('Vstupní hodnoty'!$A$4:$A$15, MATCH(Model!$AI$2,'Vstupní hodnoty'!$B$4:$B$15,0))/30*(AK26+1*AK26/7)</f>
        <v>57992.000000000007</v>
      </c>
      <c r="AM26">
        <f t="shared" si="5"/>
        <v>0</v>
      </c>
      <c r="AN26">
        <f t="shared" si="6"/>
        <v>24000</v>
      </c>
      <c r="AO26">
        <f>IF(OR(AK26&lt;14, AI$3=4, AI$4=4),0,IF(AK26&lt;21,'Vstupní hodnoty'!N$4,IF(AK26&lt;28,'Vstupní hodnoty'!N$5,IF(AK26&lt;35,'Vstupní hodnoty'!N$6,'Vstupní hodnoty'!N$6))))+IF(OR(AK26&lt;21, AI$4=4),0,IF(AI$3&lt;2,'Vstupní hodnoty'!O$6*'Vstupní hodnoty'!$A$17*(AK26-20),IF(Model!AI$3&lt;3,'Vstupní hodnoty'!O$5*'Vstupní hodnoty'!$A$17*(AK26-20),IF(Model!AI$3&lt;4,'Vstupní hodnoty'!O$4*'Vstupní hodnoty'!$A$17*(AK26-20),0))))+IF(OR(AK26&lt;21, AI$3=4), 0, IF(AI$4=1, 'Vstupní hodnoty'!P$6, IF(Model!AI$4=2, 'Vstupní hodnoty'!P$5, IF(Model!AI$4=3, 'Vstupní hodnoty'!P$4, 0))))</f>
        <v>46384</v>
      </c>
      <c r="AP26">
        <f>IF($AI$7=1, 'Vstupní hodnoty'!J$4*(2/3)/30*Model!AK26, 0)</f>
        <v>0</v>
      </c>
      <c r="AQ26">
        <f>IF(Model!$AI$5&gt;12,'Vstupní hodnoty'!$H$8*Model!AK26,IF(Model!$AI$5&gt;9,'Vstupní hodnoty'!$H$7*Model!AK26,IF(Model!$AI$5&gt;6,'Vstupní hodnoty'!$H$6*Model!AK26,IF(Model!$AI$5&gt;3,'Vstupní hodnoty'!$H$5*Model!AK26,IF(Model!$AI$5&gt;1,'Vstupní hodnoty'!$H$4*Model!AK26,0)))))</f>
        <v>8481</v>
      </c>
      <c r="AR26" s="5">
        <f>AM26+AN26+AO26+AL26*'Vstupní hodnoty'!L$4+AQ26*'Vstupní hodnoty'!L$4+AP26*'Vstupní hodnoty'!L$4</f>
        <v>126886.05000000002</v>
      </c>
      <c r="AS26" s="5">
        <f t="shared" si="7"/>
        <v>3845.0318181818188</v>
      </c>
      <c r="AX26" s="14">
        <v>33</v>
      </c>
      <c r="AY26" s="5">
        <f>INDEX('Vstupní hodnoty'!$A$4:$A$15, MATCH(Model!$AV$2,'Vstupní hodnoty'!$B$4:$B$15,0))/30*(AX26+1*AX26/7)</f>
        <v>45131.428571428572</v>
      </c>
      <c r="AZ26">
        <f t="shared" si="8"/>
        <v>0</v>
      </c>
      <c r="BA26">
        <f t="shared" si="9"/>
        <v>24000</v>
      </c>
      <c r="BB26" s="5">
        <f>IF(OR(AV$3=4,AV$4=4),0,'Roční bonus alt 2'!D25)+IF(OR(AX26&lt;21,AV$3=4,AV$4=4),0,IF(AV$3&lt;2,'Vstupní hodnoty'!O$6*'Vstupní hodnoty'!$A$17*(Model!AX26-20),IF(Model!AV$3&lt;3,'Vstupní hodnoty'!O$5*'Vstupní hodnoty'!$A$17*(Model!AX26-20),IF(Model!AV$3&lt;4,'Vstupní hodnoty'!O$4*'Vstupní hodnoty'!$A$17*(Model!AX26-20),0))))+IF(OR(AX26&lt;21,AV$3=4,AV$4=4),0,IF(AV$4=1,'Vstupní hodnoty'!P$6,IF(Model!AV$4=2,'Vstupní hodnoty'!P$5,IF(Model!AV$4=3,'Vstupní hodnoty'!P$4,0))))</f>
        <v>40837.333333333336</v>
      </c>
      <c r="BC26">
        <f>IF($AV$7=1, 'Vstupní hodnoty'!J$4*(2/3)/30*Model!AX26, 0)</f>
        <v>0</v>
      </c>
      <c r="BD26">
        <f>IF(Model!$AV$5&gt;12,'Vstupní hodnoty'!$Q$8*Model!AX26,IF(Model!$AV$5&gt;9,'Vstupní hodnoty'!$Q$7*Model!AX26,IF(Model!$AV$5&gt;6,'Vstupní hodnoty'!$Q$6*Model!AX26,IF(Model!$AV$5&gt;3,'Vstupní hodnoty'!$Q$5*Model!AX26,IF(Model!$AV$5&gt;1,'Vstupní hodnoty'!$Q$4*Model!AX26,0)))))</f>
        <v>10296</v>
      </c>
      <c r="BE26" s="5">
        <f>AZ26+BA26+BB26+AY26*'Vstupní hodnoty'!L$4+BD26*'Vstupní hodnoty'!L$4+BC26*'Vstupní hodnoty'!L$4</f>
        <v>111950.64761904762</v>
      </c>
      <c r="BF26" s="5">
        <f t="shared" si="10"/>
        <v>3392.4438672438673</v>
      </c>
    </row>
    <row r="27" spans="4:58" x14ac:dyDescent="0.2">
      <c r="D27" s="14">
        <v>34</v>
      </c>
      <c r="E27" s="5">
        <f>INDEX('Vstupní hodnoty'!$A$4:$A$15, MATCH(Model!$B$2,'Vstupní hodnoty'!$B$4:$B$15,0))/30*(D27+1*D27/7)</f>
        <v>46499.047619047618</v>
      </c>
      <c r="F27">
        <f t="shared" si="0"/>
        <v>0</v>
      </c>
      <c r="G27">
        <f t="shared" si="11"/>
        <v>24000</v>
      </c>
      <c r="H27">
        <f>IF(D27&lt;14, 0, IF(AND(D27&gt;20,$B$4&lt;3,$B$3&lt;2), 'Vstupní hodnoty'!K$6, IF(AND(D27&gt;20, $B$4&lt;3, $B$3&lt;4), 'Vstupní hodnoty'!$K$5, 'Vstupní hodnoty'!$K$4)))</f>
        <v>27000</v>
      </c>
      <c r="I27">
        <f>IF($B$7=1, 'Vstupní hodnoty'!J$4*(2/3)/30*Model!D27, 0)</f>
        <v>0</v>
      </c>
      <c r="J27">
        <f>IF(Model!$B$5&gt;12,'Vstupní hodnoty'!$H$8*Model!D27,IF(Model!$B$5&gt;9,'Vstupní hodnoty'!$H$7*Model!D27,IF(Model!$B$5&gt;6,'Vstupní hodnoty'!$H$6*Model!D27,IF(Model!$B$5&gt;3,'Vstupní hodnoty'!$H$5*Model!D27,IF(Model!$B$5&gt;1,'Vstupní hodnoty'!$H$4*Model!D27,0)))))</f>
        <v>5814</v>
      </c>
      <c r="K27" s="5">
        <f>F27+G27+H27+E27*'Vstupní hodnoty'!L$4+J27*'Vstupní hodnoty'!L$4+I27*'Vstupní hodnoty'!L$4</f>
        <v>95466.090476190468</v>
      </c>
      <c r="L27" s="5">
        <f t="shared" si="1"/>
        <v>2807.8261904761903</v>
      </c>
      <c r="X27" s="14">
        <v>34</v>
      </c>
      <c r="Y27" s="5">
        <f>INDEX('Vstupní hodnoty'!$A$4:$A$15, MATCH(Model!$V$2,'Vstupní hodnoty'!$B$4:$B$15,0))/30*(X27+1*X27/7)</f>
        <v>59749.333333333328</v>
      </c>
      <c r="Z27">
        <f t="shared" si="2"/>
        <v>0</v>
      </c>
      <c r="AA27">
        <f t="shared" si="3"/>
        <v>24000</v>
      </c>
      <c r="AB27">
        <f>IF(X27&lt;14, 0, IF(AND(X27&gt;20,$V$4&lt;3,$V$3&lt;2), 'Vstupní hodnoty'!$I$6, IF(AND(X27&gt;20, $V$4&lt;4, $V$3&lt;4), 'Vstupní hodnoty'!$I$5, 'Vstupní hodnoty'!$I$4)))</f>
        <v>27000</v>
      </c>
      <c r="AC27">
        <f>IF($V$7=1, 'Vstupní hodnoty'!$J$4*(2/3)/30*Model!X27, 0)</f>
        <v>0</v>
      </c>
      <c r="AD27">
        <f>IF(Model!$V$5&gt;12,'Vstupní hodnoty'!$H$8*Model!X27,IF(Model!$V$5&gt;9,'Vstupní hodnoty'!$H$7*Model!X27,IF(Model!$V$5&gt;6,'Vstupní hodnoty'!$H$6*Model!X27,IF(Model!$V$5&gt;3,'Vstupní hodnoty'!$H$5*Model!X27,IF(Model!$V$5&gt;1,'Vstupní hodnoty'!$H$4*Model!X27,0)))))</f>
        <v>8738</v>
      </c>
      <c r="AE27" s="5">
        <f>Z27+AA27+AB27+Y27*'Vstupní hodnoty'!L$4+AD27*'Vstupní hodnoty'!L$4+AC27*'Vstupní hodnoty'!L$4</f>
        <v>109214.23333333332</v>
      </c>
      <c r="AF27" s="5">
        <f t="shared" si="4"/>
        <v>3212.1833333333329</v>
      </c>
      <c r="AK27" s="14">
        <v>34</v>
      </c>
      <c r="AL27" s="5">
        <f>INDEX('Vstupní hodnoty'!$A$4:$A$15, MATCH(Model!$AI$2,'Vstupní hodnoty'!$B$4:$B$15,0))/30*(AK27+1*AK27/7)</f>
        <v>59749.333333333328</v>
      </c>
      <c r="AM27">
        <f t="shared" si="5"/>
        <v>0</v>
      </c>
      <c r="AN27">
        <f t="shared" si="6"/>
        <v>24000</v>
      </c>
      <c r="AO27">
        <f>IF(OR(AK27&lt;14, AI$3=4, AI$4=4),0,IF(AK27&lt;21,'Vstupní hodnoty'!N$4,IF(AK27&lt;28,'Vstupní hodnoty'!N$5,IF(AK27&lt;35,'Vstupní hodnoty'!N$6,'Vstupní hodnoty'!N$6))))+IF(OR(AK27&lt;21, AI$4=4),0,IF(AI$3&lt;2,'Vstupní hodnoty'!O$6*'Vstupní hodnoty'!$A$17*(AK27-20),IF(Model!AI$3&lt;3,'Vstupní hodnoty'!O$5*'Vstupní hodnoty'!$A$17*(AK27-20),IF(Model!AI$3&lt;4,'Vstupní hodnoty'!O$4*'Vstupní hodnoty'!$A$17*(AK27-20),0))))+IF(OR(AK27&lt;21, AI$3=4), 0, IF(AI$4=1, 'Vstupní hodnoty'!P$6, IF(Model!AI$4=2, 'Vstupní hodnoty'!P$5, IF(Model!AI$4=3, 'Vstupní hodnoty'!P$4, 0))))</f>
        <v>46592</v>
      </c>
      <c r="AP27">
        <f>IF($AI$7=1, 'Vstupní hodnoty'!J$4*(2/3)/30*Model!AK27, 0)</f>
        <v>0</v>
      </c>
      <c r="AQ27">
        <f>IF(Model!$AI$5&gt;12,'Vstupní hodnoty'!$H$8*Model!AK27,IF(Model!$AI$5&gt;9,'Vstupní hodnoty'!$H$7*Model!AK27,IF(Model!$AI$5&gt;6,'Vstupní hodnoty'!$H$6*Model!AK27,IF(Model!$AI$5&gt;3,'Vstupní hodnoty'!$H$5*Model!AK27,IF(Model!$AI$5&gt;1,'Vstupní hodnoty'!$H$4*Model!AK27,0)))))</f>
        <v>8738</v>
      </c>
      <c r="AR27" s="5">
        <f>AM27+AN27+AO27+AL27*'Vstupní hodnoty'!L$4+AQ27*'Vstupní hodnoty'!L$4+AP27*'Vstupní hodnoty'!L$4</f>
        <v>128806.23333333332</v>
      </c>
      <c r="AS27" s="5">
        <f t="shared" si="7"/>
        <v>3788.4186274509802</v>
      </c>
      <c r="AX27" s="14">
        <v>34</v>
      </c>
      <c r="AY27" s="5">
        <f>INDEX('Vstupní hodnoty'!$A$4:$A$15, MATCH(Model!$AV$2,'Vstupní hodnoty'!$B$4:$B$15,0))/30*(AX27+1*AX27/7)</f>
        <v>46499.047619047618</v>
      </c>
      <c r="AZ27">
        <f t="shared" si="8"/>
        <v>0</v>
      </c>
      <c r="BA27">
        <f t="shared" si="9"/>
        <v>24000</v>
      </c>
      <c r="BB27" s="5">
        <f>IF(OR(AV$3=4,AV$4=4),0,'Roční bonus alt 2'!D26)+IF(OR(AX27&lt;21,AV$3=4,AV$4=4),0,IF(AV$3&lt;2,'Vstupní hodnoty'!O$6*'Vstupní hodnoty'!$A$17*(Model!AX27-20),IF(Model!AV$3&lt;3,'Vstupní hodnoty'!O$5*'Vstupní hodnoty'!$A$17*(Model!AX27-20),IF(Model!AV$3&lt;4,'Vstupní hodnoty'!O$4*'Vstupní hodnoty'!$A$17*(Model!AX27-20),0))))+IF(OR(AX27&lt;21,AV$3=4,AV$4=4),0,IF(AV$4=1,'Vstupní hodnoty'!P$6,IF(Model!AV$4=2,'Vstupní hodnoty'!P$5,IF(Model!AV$4=3,'Vstupní hodnoty'!P$4,0))))</f>
        <v>42432</v>
      </c>
      <c r="BC27">
        <f>IF($AV$7=1, 'Vstupní hodnoty'!J$4*(2/3)/30*Model!AX27, 0)</f>
        <v>0</v>
      </c>
      <c r="BD27">
        <f>IF(Model!$AV$5&gt;12,'Vstupní hodnoty'!$Q$8*Model!AX27,IF(Model!$AV$5&gt;9,'Vstupní hodnoty'!$Q$7*Model!AX27,IF(Model!$AV$5&gt;6,'Vstupní hodnoty'!$Q$6*Model!AX27,IF(Model!$AV$5&gt;3,'Vstupní hodnoty'!$Q$5*Model!AX27,IF(Model!$AV$5&gt;1,'Vstupní hodnoty'!$Q$4*Model!AX27,0)))))</f>
        <v>10608</v>
      </c>
      <c r="BE27" s="5">
        <f>AZ27+BA27+BB27+AY27*'Vstupní hodnoty'!L$4+BD27*'Vstupní hodnoty'!L$4+BC27*'Vstupní hodnoty'!L$4</f>
        <v>114972.99047619048</v>
      </c>
      <c r="BF27" s="5">
        <f t="shared" si="10"/>
        <v>3381.5585434173668</v>
      </c>
    </row>
    <row r="28" spans="4:58" x14ac:dyDescent="0.2">
      <c r="D28" s="14">
        <v>35</v>
      </c>
      <c r="E28" s="5">
        <f>INDEX('Vstupní hodnoty'!$A$4:$A$15, MATCH(Model!$B$2,'Vstupní hodnoty'!$B$4:$B$15,0))/30*(D28+1*D28/7)</f>
        <v>47866.666666666672</v>
      </c>
      <c r="F28">
        <f t="shared" si="0"/>
        <v>0</v>
      </c>
      <c r="G28">
        <f t="shared" si="11"/>
        <v>24000</v>
      </c>
      <c r="H28">
        <f>IF(D28&lt;14, 0, IF(AND(D28&gt;20,$B$4&lt;3,$B$3&lt;2), 'Vstupní hodnoty'!K$6, IF(AND(D28&gt;20, $B$4&lt;3, $B$3&lt;4), 'Vstupní hodnoty'!$K$5, 'Vstupní hodnoty'!$K$4)))</f>
        <v>27000</v>
      </c>
      <c r="I28">
        <f>IF($B$7=1, 'Vstupní hodnoty'!J$4*(2/3)/30*Model!D28, 0)</f>
        <v>0</v>
      </c>
      <c r="J28">
        <f>IF(Model!$B$5&gt;12,'Vstupní hodnoty'!$H$8*Model!D28,IF(Model!$B$5&gt;9,'Vstupní hodnoty'!$H$7*Model!D28,IF(Model!$B$5&gt;6,'Vstupní hodnoty'!$H$6*Model!D28,IF(Model!$B$5&gt;3,'Vstupní hodnoty'!$H$5*Model!D28,IF(Model!$B$5&gt;1,'Vstupní hodnoty'!$H$4*Model!D28,0)))))</f>
        <v>5985</v>
      </c>
      <c r="K28" s="5">
        <f>F28+G28+H28+E28*'Vstupní hodnoty'!L$4+J28*'Vstupní hodnoty'!L$4+I28*'Vstupní hodnoty'!L$4</f>
        <v>96773.916666666672</v>
      </c>
      <c r="L28" s="5">
        <f t="shared" si="1"/>
        <v>2764.9690476190476</v>
      </c>
      <c r="X28" s="14">
        <v>35</v>
      </c>
      <c r="Y28" s="5">
        <f>INDEX('Vstupní hodnoty'!$A$4:$A$15, MATCH(Model!$V$2,'Vstupní hodnoty'!$B$4:$B$15,0))/30*(X28+1*X28/7)</f>
        <v>61506.666666666672</v>
      </c>
      <c r="Z28">
        <f t="shared" si="2"/>
        <v>0</v>
      </c>
      <c r="AA28">
        <f t="shared" si="3"/>
        <v>24000</v>
      </c>
      <c r="AB28">
        <f>IF(X28&lt;14, 0, IF(AND(X28&gt;20,$V$4&lt;3,$V$3&lt;2), 'Vstupní hodnoty'!$I$6, IF(AND(X28&gt;20, $V$4&lt;4, $V$3&lt;4), 'Vstupní hodnoty'!$I$5, 'Vstupní hodnoty'!$I$4)))</f>
        <v>27000</v>
      </c>
      <c r="AC28">
        <f>IF($V$7=1, 'Vstupní hodnoty'!$J$4*(2/3)/30*Model!X28, 0)</f>
        <v>0</v>
      </c>
      <c r="AD28">
        <f>IF(Model!$V$5&gt;12,'Vstupní hodnoty'!$H$8*Model!X28,IF(Model!$V$5&gt;9,'Vstupní hodnoty'!$H$7*Model!X28,IF(Model!$V$5&gt;6,'Vstupní hodnoty'!$H$6*Model!X28,IF(Model!$V$5&gt;3,'Vstupní hodnoty'!$H$5*Model!X28,IF(Model!$V$5&gt;1,'Vstupní hodnoty'!$H$4*Model!X28,0)))))</f>
        <v>8995</v>
      </c>
      <c r="AE28" s="5">
        <f>Z28+AA28+AB28+Y28*'Vstupní hodnoty'!L$4+AD28*'Vstupní hodnoty'!L$4+AC28*'Vstupní hodnoty'!L$4</f>
        <v>110926.41666666667</v>
      </c>
      <c r="AF28" s="5">
        <f t="shared" si="4"/>
        <v>3169.3261904761907</v>
      </c>
      <c r="AK28" s="14">
        <v>35</v>
      </c>
      <c r="AL28" s="5">
        <f>INDEX('Vstupní hodnoty'!$A$4:$A$15, MATCH(Model!$AI$2,'Vstupní hodnoty'!$B$4:$B$15,0))/30*(AK28+1*AK28/7)</f>
        <v>61506.666666666672</v>
      </c>
      <c r="AM28">
        <f t="shared" si="5"/>
        <v>0</v>
      </c>
      <c r="AN28">
        <f t="shared" si="6"/>
        <v>24000</v>
      </c>
      <c r="AO28">
        <f>IF(OR(AK28&lt;14, AI$3=4, AI$4=4),0,IF(AK28&lt;21,'Vstupní hodnoty'!N$4,IF(AK28&lt;28,'Vstupní hodnoty'!N$5,IF(AK28&lt;35,'Vstupní hodnoty'!N$6,'Vstupní hodnoty'!N$6))))+IF(OR(AK28&lt;21, AI$4=4),0,IF(AI$3&lt;2,'Vstupní hodnoty'!O$6*'Vstupní hodnoty'!$A$17*(AK28-20),IF(Model!AI$3&lt;3,'Vstupní hodnoty'!O$5*'Vstupní hodnoty'!$A$17*(AK28-20),IF(Model!AI$3&lt;4,'Vstupní hodnoty'!O$4*'Vstupní hodnoty'!$A$17*(AK28-20),0))))+IF(OR(AK28&lt;21, AI$3=4), 0, IF(AI$4=1, 'Vstupní hodnoty'!P$6, IF(Model!AI$4=2, 'Vstupní hodnoty'!P$5, IF(Model!AI$4=3, 'Vstupní hodnoty'!P$4, 0))))</f>
        <v>46800</v>
      </c>
      <c r="AP28">
        <f>IF($AI$7=1, 'Vstupní hodnoty'!J$4*(2/3)/30*Model!AK28, 0)</f>
        <v>0</v>
      </c>
      <c r="AQ28">
        <f>IF(Model!$AI$5&gt;12,'Vstupní hodnoty'!$H$8*Model!AK28,IF(Model!$AI$5&gt;9,'Vstupní hodnoty'!$H$7*Model!AK28,IF(Model!$AI$5&gt;6,'Vstupní hodnoty'!$H$6*Model!AK28,IF(Model!$AI$5&gt;3,'Vstupní hodnoty'!$H$5*Model!AK28,IF(Model!$AI$5&gt;1,'Vstupní hodnoty'!$H$4*Model!AK28,0)))))</f>
        <v>8995</v>
      </c>
      <c r="AR28" s="5">
        <f>AM28+AN28+AO28+AL28*'Vstupní hodnoty'!L$4+AQ28*'Vstupní hodnoty'!L$4+AP28*'Vstupní hodnoty'!L$4</f>
        <v>130726.41666666667</v>
      </c>
      <c r="AS28" s="5">
        <f t="shared" si="7"/>
        <v>3735.0404761904765</v>
      </c>
      <c r="AX28" s="14">
        <v>35</v>
      </c>
      <c r="AY28" s="5">
        <f>INDEX('Vstupní hodnoty'!$A$4:$A$15, MATCH(Model!$AV$2,'Vstupní hodnoty'!$B$4:$B$15,0))/30*(AX28+1*AX28/7)</f>
        <v>47866.666666666672</v>
      </c>
      <c r="AZ28">
        <f t="shared" si="8"/>
        <v>0</v>
      </c>
      <c r="BA28">
        <f t="shared" si="9"/>
        <v>24000</v>
      </c>
      <c r="BB28" s="5">
        <f>IF(OR(AV$3=4,AV$4=4),0,'Roční bonus alt 2'!D27)+IF(OR(AX28&lt;21,AV$3=4,AV$4=4),0,IF(AV$3&lt;2,'Vstupní hodnoty'!O$6*'Vstupní hodnoty'!$A$17*(Model!AX28-20),IF(Model!AV$3&lt;3,'Vstupní hodnoty'!O$5*'Vstupní hodnoty'!$A$17*(Model!AX28-20),IF(Model!AV$3&lt;4,'Vstupní hodnoty'!O$4*'Vstupní hodnoty'!$A$17*(Model!AX28-20),0))))+IF(OR(AX28&lt;21,AV$3=4,AV$4=4),0,IF(AV$4=1,'Vstupní hodnoty'!P$6,IF(Model!AV$4=2,'Vstupní hodnoty'!P$5,IF(Model!AV$4=3,'Vstupní hodnoty'!P$4,0))))</f>
        <v>44026.666666666672</v>
      </c>
      <c r="BC28">
        <f>IF($AV$7=1, 'Vstupní hodnoty'!J$4*(2/3)/30*Model!AX28, 0)</f>
        <v>0</v>
      </c>
      <c r="BD28">
        <f>IF(Model!$AV$5&gt;12,'Vstupní hodnoty'!$Q$8*Model!AX28,IF(Model!$AV$5&gt;9,'Vstupní hodnoty'!$Q$7*Model!AX28,IF(Model!$AV$5&gt;6,'Vstupní hodnoty'!$Q$6*Model!AX28,IF(Model!$AV$5&gt;3,'Vstupní hodnoty'!$Q$5*Model!AX28,IF(Model!$AV$5&gt;1,'Vstupní hodnoty'!$Q$4*Model!AX28,0)))))</f>
        <v>10920</v>
      </c>
      <c r="BE28" s="5">
        <f>AZ28+BA28+BB28+AY28*'Vstupní hodnoty'!L$4+BD28*'Vstupní hodnoty'!L$4+BC28*'Vstupní hodnoty'!L$4</f>
        <v>117995.33333333334</v>
      </c>
      <c r="BF28" s="5">
        <f t="shared" si="10"/>
        <v>3371.2952380952383</v>
      </c>
    </row>
    <row r="29" spans="4:58" x14ac:dyDescent="0.2">
      <c r="D29" s="14">
        <v>36</v>
      </c>
      <c r="E29" s="5">
        <f>INDEX('Vstupní hodnoty'!$A$4:$A$15, MATCH(Model!$B$2,'Vstupní hodnoty'!$B$4:$B$15,0))/30*(D29+1*D29/7)</f>
        <v>49234.285714285725</v>
      </c>
      <c r="F29">
        <f t="shared" si="0"/>
        <v>0</v>
      </c>
      <c r="G29">
        <f t="shared" si="11"/>
        <v>24000</v>
      </c>
      <c r="H29">
        <f>IF(D29&lt;14, 0, IF(AND(D29&gt;20,$B$4&lt;3,$B$3&lt;2), 'Vstupní hodnoty'!K$6, IF(AND(D29&gt;20, $B$4&lt;3, $B$3&lt;4), 'Vstupní hodnoty'!$K$5, 'Vstupní hodnoty'!$K$4)))</f>
        <v>27000</v>
      </c>
      <c r="I29">
        <f>IF($B$7=1, 'Vstupní hodnoty'!J$4*(2/3)/30*Model!D29, 0)</f>
        <v>0</v>
      </c>
      <c r="J29">
        <f>IF(Model!$B$5&gt;12,'Vstupní hodnoty'!$H$8*Model!D29,IF(Model!$B$5&gt;9,'Vstupní hodnoty'!$H$7*Model!D29,IF(Model!$B$5&gt;6,'Vstupní hodnoty'!$H$6*Model!D29,IF(Model!$B$5&gt;3,'Vstupní hodnoty'!$H$5*Model!D29,IF(Model!$B$5&gt;1,'Vstupní hodnoty'!$H$4*Model!D29,0)))))</f>
        <v>6156</v>
      </c>
      <c r="K29" s="5">
        <f>F29+G29+H29+E29*'Vstupní hodnoty'!L$4+J29*'Vstupní hodnoty'!L$4+I29*'Vstupní hodnoty'!L$4</f>
        <v>98081.742857142875</v>
      </c>
      <c r="L29" s="5">
        <f t="shared" si="1"/>
        <v>2724.4928571428577</v>
      </c>
      <c r="X29" s="14">
        <v>36</v>
      </c>
      <c r="Y29" s="5">
        <f>INDEX('Vstupní hodnoty'!$A$4:$A$15, MATCH(Model!$V$2,'Vstupní hodnoty'!$B$4:$B$15,0))/30*(X29+1*X29/7)</f>
        <v>63264.000000000007</v>
      </c>
      <c r="Z29">
        <f t="shared" si="2"/>
        <v>0</v>
      </c>
      <c r="AA29">
        <f t="shared" si="3"/>
        <v>24000</v>
      </c>
      <c r="AB29">
        <f>IF(X29&lt;14, 0, IF(AND(X29&gt;20,$V$4&lt;3,$V$3&lt;2), 'Vstupní hodnoty'!$I$6, IF(AND(X29&gt;20, $V$4&lt;4, $V$3&lt;4), 'Vstupní hodnoty'!$I$5, 'Vstupní hodnoty'!$I$4)))</f>
        <v>27000</v>
      </c>
      <c r="AC29">
        <f>IF($V$7=1, 'Vstupní hodnoty'!$J$4*(2/3)/30*Model!X29, 0)</f>
        <v>0</v>
      </c>
      <c r="AD29">
        <f>IF(Model!$V$5&gt;12,'Vstupní hodnoty'!$H$8*Model!X29,IF(Model!$V$5&gt;9,'Vstupní hodnoty'!$H$7*Model!X29,IF(Model!$V$5&gt;6,'Vstupní hodnoty'!$H$6*Model!X29,IF(Model!$V$5&gt;3,'Vstupní hodnoty'!$H$5*Model!X29,IF(Model!$V$5&gt;1,'Vstupní hodnoty'!$H$4*Model!X29,0)))))</f>
        <v>9252</v>
      </c>
      <c r="AE29" s="5">
        <f>Z29+AA29+AB29+Y29*'Vstupní hodnoty'!L$4+AD29*'Vstupní hodnoty'!L$4+AC29*'Vstupní hodnoty'!L$4</f>
        <v>112638.59999999999</v>
      </c>
      <c r="AF29" s="5">
        <f t="shared" si="4"/>
        <v>3128.85</v>
      </c>
      <c r="AK29" s="14">
        <v>36</v>
      </c>
      <c r="AL29" s="5">
        <f>INDEX('Vstupní hodnoty'!$A$4:$A$15, MATCH(Model!$AI$2,'Vstupní hodnoty'!$B$4:$B$15,0))/30*(AK29+1*AK29/7)</f>
        <v>63264.000000000007</v>
      </c>
      <c r="AM29">
        <f t="shared" si="5"/>
        <v>0</v>
      </c>
      <c r="AN29">
        <f t="shared" si="6"/>
        <v>24000</v>
      </c>
      <c r="AO29">
        <f>IF(OR(AK29&lt;14, AI$3=4, AI$4=4),0,IF(AK29&lt;21,'Vstupní hodnoty'!N$4,IF(AK29&lt;28,'Vstupní hodnoty'!N$5,IF(AK29&lt;35,'Vstupní hodnoty'!N$6,'Vstupní hodnoty'!N$6))))+IF(OR(AK29&lt;21, AI$4=4),0,IF(AI$3&lt;2,'Vstupní hodnoty'!O$6*'Vstupní hodnoty'!$A$17*(AK29-20),IF(Model!AI$3&lt;3,'Vstupní hodnoty'!O$5*'Vstupní hodnoty'!$A$17*(AK29-20),IF(Model!AI$3&lt;4,'Vstupní hodnoty'!O$4*'Vstupní hodnoty'!$A$17*(AK29-20),0))))+IF(OR(AK29&lt;21, AI$3=4), 0, IF(AI$4=1, 'Vstupní hodnoty'!P$6, IF(Model!AI$4=2, 'Vstupní hodnoty'!P$5, IF(Model!AI$4=3, 'Vstupní hodnoty'!P$4, 0))))</f>
        <v>47008</v>
      </c>
      <c r="AP29">
        <f>IF($AI$7=1, 'Vstupní hodnoty'!J$4*(2/3)/30*Model!AK29, 0)</f>
        <v>0</v>
      </c>
      <c r="AQ29">
        <f>IF(Model!$AI$5&gt;12,'Vstupní hodnoty'!$H$8*Model!AK29,IF(Model!$AI$5&gt;9,'Vstupní hodnoty'!$H$7*Model!AK29,IF(Model!$AI$5&gt;6,'Vstupní hodnoty'!$H$6*Model!AK29,IF(Model!$AI$5&gt;3,'Vstupní hodnoty'!$H$5*Model!AK29,IF(Model!$AI$5&gt;1,'Vstupní hodnoty'!$H$4*Model!AK29,0)))))</f>
        <v>9252</v>
      </c>
      <c r="AR29" s="5">
        <f>AM29+AN29+AO29+AL29*'Vstupní hodnoty'!L$4+AQ29*'Vstupní hodnoty'!L$4+AP29*'Vstupní hodnoty'!L$4</f>
        <v>132646.6</v>
      </c>
      <c r="AS29" s="5">
        <f t="shared" si="7"/>
        <v>3684.6277777777777</v>
      </c>
      <c r="AX29" s="14">
        <v>36</v>
      </c>
      <c r="AY29" s="5">
        <f>INDEX('Vstupní hodnoty'!$A$4:$A$15, MATCH(Model!$AV$2,'Vstupní hodnoty'!$B$4:$B$15,0))/30*(AX29+1*AX29/7)</f>
        <v>49234.285714285725</v>
      </c>
      <c r="AZ29">
        <f t="shared" si="8"/>
        <v>0</v>
      </c>
      <c r="BA29">
        <f t="shared" si="9"/>
        <v>24000</v>
      </c>
      <c r="BB29" s="5">
        <f>IF(OR(AV$3=4,AV$4=4),0,'Roční bonus alt 2'!D28)+IF(OR(AX29&lt;21,AV$3=4,AV$4=4),0,IF(AV$3&lt;2,'Vstupní hodnoty'!O$6*'Vstupní hodnoty'!$A$17*(Model!AX29-20),IF(Model!AV$3&lt;3,'Vstupní hodnoty'!O$5*'Vstupní hodnoty'!$A$17*(Model!AX29-20),IF(Model!AV$3&lt;4,'Vstupní hodnoty'!O$4*'Vstupní hodnoty'!$A$17*(Model!AX29-20),0))))+IF(OR(AX29&lt;21,AV$3=4,AV$4=4),0,IF(AV$4=1,'Vstupní hodnoty'!P$6,IF(Model!AV$4=2,'Vstupní hodnoty'!P$5,IF(Model!AV$4=3,'Vstupní hodnoty'!P$4,0))))</f>
        <v>45621.333333333336</v>
      </c>
      <c r="BC29">
        <f>IF($AV$7=1, 'Vstupní hodnoty'!J$4*(2/3)/30*Model!AX29, 0)</f>
        <v>0</v>
      </c>
      <c r="BD29">
        <f>IF(Model!$AV$5&gt;12,'Vstupní hodnoty'!$Q$8*Model!AX29,IF(Model!$AV$5&gt;9,'Vstupní hodnoty'!$Q$7*Model!AX29,IF(Model!$AV$5&gt;6,'Vstupní hodnoty'!$Q$6*Model!AX29,IF(Model!$AV$5&gt;3,'Vstupní hodnoty'!$Q$5*Model!AX29,IF(Model!$AV$5&gt;1,'Vstupní hodnoty'!$Q$4*Model!AX29,0)))))</f>
        <v>11232</v>
      </c>
      <c r="BE29" s="5">
        <f>AZ29+BA29+BB29+AY29*'Vstupní hodnoty'!L$4+BD29*'Vstupní hodnoty'!L$4+BC29*'Vstupní hodnoty'!L$4</f>
        <v>121017.67619047621</v>
      </c>
      <c r="BF29" s="5">
        <f t="shared" si="10"/>
        <v>3361.6021164021167</v>
      </c>
    </row>
    <row r="30" spans="4:58" x14ac:dyDescent="0.2">
      <c r="D30" s="14">
        <v>37</v>
      </c>
      <c r="E30" s="5">
        <f>INDEX('Vstupní hodnoty'!$A$4:$A$15, MATCH(Model!$B$2,'Vstupní hodnoty'!$B$4:$B$15,0))/30*(D30+1*D30/7)</f>
        <v>50601.904761904763</v>
      </c>
      <c r="F30">
        <f t="shared" si="0"/>
        <v>0</v>
      </c>
      <c r="G30">
        <f t="shared" si="11"/>
        <v>24000</v>
      </c>
      <c r="H30">
        <f>IF(D30&lt;14, 0, IF(AND(D30&gt;20,$B$4&lt;3,$B$3&lt;2), 'Vstupní hodnoty'!K$6, IF(AND(D30&gt;20, $B$4&lt;3, $B$3&lt;4), 'Vstupní hodnoty'!$K$5, 'Vstupní hodnoty'!$K$4)))</f>
        <v>27000</v>
      </c>
      <c r="I30">
        <f>IF($B$7=1, 'Vstupní hodnoty'!J$4*(2/3)/30*Model!D30, 0)</f>
        <v>0</v>
      </c>
      <c r="J30">
        <f>IF(Model!$B$5&gt;12,'Vstupní hodnoty'!$H$8*Model!D30,IF(Model!$B$5&gt;9,'Vstupní hodnoty'!$H$7*Model!D30,IF(Model!$B$5&gt;6,'Vstupní hodnoty'!$H$6*Model!D30,IF(Model!$B$5&gt;3,'Vstupní hodnoty'!$H$5*Model!D30,IF(Model!$B$5&gt;1,'Vstupní hodnoty'!$H$4*Model!D30,0)))))</f>
        <v>6327</v>
      </c>
      <c r="K30" s="5">
        <f>F30+G30+H30+E30*'Vstupní hodnoty'!L$4+J30*'Vstupní hodnoty'!L$4+I30*'Vstupní hodnoty'!L$4</f>
        <v>99389.56904761905</v>
      </c>
      <c r="L30" s="5">
        <f t="shared" si="1"/>
        <v>2686.2045688545691</v>
      </c>
      <c r="X30" s="14">
        <v>37</v>
      </c>
      <c r="Y30" s="5">
        <f>INDEX('Vstupní hodnoty'!$A$4:$A$15, MATCH(Model!$V$2,'Vstupní hodnoty'!$B$4:$B$15,0))/30*(X30+1*X30/7)</f>
        <v>65021.333333333336</v>
      </c>
      <c r="Z30">
        <f t="shared" si="2"/>
        <v>0</v>
      </c>
      <c r="AA30">
        <f t="shared" si="3"/>
        <v>24000</v>
      </c>
      <c r="AB30">
        <f>IF(X30&lt;14, 0, IF(AND(X30&gt;20,$V$4&lt;3,$V$3&lt;2), 'Vstupní hodnoty'!$I$6, IF(AND(X30&gt;20, $V$4&lt;4, $V$3&lt;4), 'Vstupní hodnoty'!$I$5, 'Vstupní hodnoty'!$I$4)))</f>
        <v>27000</v>
      </c>
      <c r="AC30">
        <f>IF($V$7=1, 'Vstupní hodnoty'!$J$4*(2/3)/30*Model!X30, 0)</f>
        <v>0</v>
      </c>
      <c r="AD30">
        <f>IF(Model!$V$5&gt;12,'Vstupní hodnoty'!$H$8*Model!X30,IF(Model!$V$5&gt;9,'Vstupní hodnoty'!$H$7*Model!X30,IF(Model!$V$5&gt;6,'Vstupní hodnoty'!$H$6*Model!X30,IF(Model!$V$5&gt;3,'Vstupní hodnoty'!$H$5*Model!X30,IF(Model!$V$5&gt;1,'Vstupní hodnoty'!$H$4*Model!X30,0)))))</f>
        <v>9509</v>
      </c>
      <c r="AE30" s="5">
        <f>Z30+AA30+AB30+Y30*'Vstupní hodnoty'!L$4+AD30*'Vstupní hodnoty'!L$4+AC30*'Vstupní hodnoty'!L$4</f>
        <v>114350.78333333333</v>
      </c>
      <c r="AF30" s="5">
        <f t="shared" si="4"/>
        <v>3090.5617117117117</v>
      </c>
      <c r="AK30" s="14">
        <v>37</v>
      </c>
      <c r="AL30" s="5">
        <f>INDEX('Vstupní hodnoty'!$A$4:$A$15, MATCH(Model!$AI$2,'Vstupní hodnoty'!$B$4:$B$15,0))/30*(AK30+1*AK30/7)</f>
        <v>65021.333333333336</v>
      </c>
      <c r="AM30">
        <f t="shared" si="5"/>
        <v>0</v>
      </c>
      <c r="AN30">
        <f t="shared" si="6"/>
        <v>24000</v>
      </c>
      <c r="AO30">
        <f>IF(OR(AK30&lt;14, AI$3=4, AI$4=4),0,IF(AK30&lt;21,'Vstupní hodnoty'!N$4,IF(AK30&lt;28,'Vstupní hodnoty'!N$5,IF(AK30&lt;35,'Vstupní hodnoty'!N$6,'Vstupní hodnoty'!N$6))))+IF(OR(AK30&lt;21, AI$4=4),0,IF(AI$3&lt;2,'Vstupní hodnoty'!O$6*'Vstupní hodnoty'!$A$17*(AK30-20),IF(Model!AI$3&lt;3,'Vstupní hodnoty'!O$5*'Vstupní hodnoty'!$A$17*(AK30-20),IF(Model!AI$3&lt;4,'Vstupní hodnoty'!O$4*'Vstupní hodnoty'!$A$17*(AK30-20),0))))+IF(OR(AK30&lt;21, AI$3=4), 0, IF(AI$4=1, 'Vstupní hodnoty'!P$6, IF(Model!AI$4=2, 'Vstupní hodnoty'!P$5, IF(Model!AI$4=3, 'Vstupní hodnoty'!P$4, 0))))</f>
        <v>47216</v>
      </c>
      <c r="AP30">
        <f>IF($AI$7=1, 'Vstupní hodnoty'!J$4*(2/3)/30*Model!AK30, 0)</f>
        <v>0</v>
      </c>
      <c r="AQ30">
        <f>IF(Model!$AI$5&gt;12,'Vstupní hodnoty'!$H$8*Model!AK30,IF(Model!$AI$5&gt;9,'Vstupní hodnoty'!$H$7*Model!AK30,IF(Model!$AI$5&gt;6,'Vstupní hodnoty'!$H$6*Model!AK30,IF(Model!$AI$5&gt;3,'Vstupní hodnoty'!$H$5*Model!AK30,IF(Model!$AI$5&gt;1,'Vstupní hodnoty'!$H$4*Model!AK30,0)))))</f>
        <v>9509</v>
      </c>
      <c r="AR30" s="5">
        <f>AM30+AN30+AO30+AL30*'Vstupní hodnoty'!L$4+AQ30*'Vstupní hodnoty'!L$4+AP30*'Vstupní hodnoty'!L$4</f>
        <v>134566.78333333333</v>
      </c>
      <c r="AS30" s="5">
        <f t="shared" si="7"/>
        <v>3636.9400900900901</v>
      </c>
      <c r="AX30" s="14">
        <v>37</v>
      </c>
      <c r="AY30" s="5">
        <f>INDEX('Vstupní hodnoty'!$A$4:$A$15, MATCH(Model!$AV$2,'Vstupní hodnoty'!$B$4:$B$15,0))/30*(AX30+1*AX30/7)</f>
        <v>50601.904761904763</v>
      </c>
      <c r="AZ30">
        <f t="shared" si="8"/>
        <v>0</v>
      </c>
      <c r="BA30">
        <f t="shared" si="9"/>
        <v>24000</v>
      </c>
      <c r="BB30" s="5">
        <f>IF(OR(AV$3=4,AV$4=4),0,'Roční bonus alt 2'!D29)+IF(OR(AX30&lt;21,AV$3=4,AV$4=4),0,IF(AV$3&lt;2,'Vstupní hodnoty'!O$6*'Vstupní hodnoty'!$A$17*(Model!AX30-20),IF(Model!AV$3&lt;3,'Vstupní hodnoty'!O$5*'Vstupní hodnoty'!$A$17*(Model!AX30-20),IF(Model!AV$3&lt;4,'Vstupní hodnoty'!O$4*'Vstupní hodnoty'!$A$17*(Model!AX30-20),0))))+IF(OR(AX30&lt;21,AV$3=4,AV$4=4),0,IF(AV$4=1,'Vstupní hodnoty'!P$6,IF(Model!AV$4=2,'Vstupní hodnoty'!P$5,IF(Model!AV$4=3,'Vstupní hodnoty'!P$4,0))))</f>
        <v>47216</v>
      </c>
      <c r="BC30">
        <f>IF($AV$7=1, 'Vstupní hodnoty'!J$4*(2/3)/30*Model!AX30, 0)</f>
        <v>0</v>
      </c>
      <c r="BD30">
        <f>IF(Model!$AV$5&gt;12,'Vstupní hodnoty'!$Q$8*Model!AX30,IF(Model!$AV$5&gt;9,'Vstupní hodnoty'!$Q$7*Model!AX30,IF(Model!$AV$5&gt;6,'Vstupní hodnoty'!$Q$6*Model!AX30,IF(Model!$AV$5&gt;3,'Vstupní hodnoty'!$Q$5*Model!AX30,IF(Model!$AV$5&gt;1,'Vstupní hodnoty'!$Q$4*Model!AX30,0)))))</f>
        <v>11544</v>
      </c>
      <c r="BE30" s="5">
        <f>AZ30+BA30+BB30+AY30*'Vstupní hodnoty'!L$4+BD30*'Vstupní hodnoty'!L$4+BC30*'Vstupní hodnoty'!L$4</f>
        <v>124040.01904761905</v>
      </c>
      <c r="BF30" s="5">
        <f t="shared" si="10"/>
        <v>3352.4329472329473</v>
      </c>
    </row>
    <row r="31" spans="4:58" x14ac:dyDescent="0.2">
      <c r="D31" s="14">
        <v>38</v>
      </c>
      <c r="E31" s="5">
        <f>INDEX('Vstupní hodnoty'!$A$4:$A$15, MATCH(Model!$B$2,'Vstupní hodnoty'!$B$4:$B$15,0))/30*(D31+1*D31/7)</f>
        <v>51969.523809523816</v>
      </c>
      <c r="F31">
        <f t="shared" si="0"/>
        <v>0</v>
      </c>
      <c r="G31">
        <f t="shared" si="11"/>
        <v>24000</v>
      </c>
      <c r="H31">
        <f>IF(D31&lt;14, 0, IF(AND(D31&gt;20,$B$4&lt;3,$B$3&lt;2), 'Vstupní hodnoty'!K$6, IF(AND(D31&gt;20, $B$4&lt;3, $B$3&lt;4), 'Vstupní hodnoty'!$K$5, 'Vstupní hodnoty'!$K$4)))</f>
        <v>27000</v>
      </c>
      <c r="I31">
        <f>IF($B$7=1, 'Vstupní hodnoty'!J$4*(2/3)/30*Model!D31, 0)</f>
        <v>0</v>
      </c>
      <c r="J31">
        <f>IF(Model!$B$5&gt;12,'Vstupní hodnoty'!$H$8*Model!D31,IF(Model!$B$5&gt;9,'Vstupní hodnoty'!$H$7*Model!D31,IF(Model!$B$5&gt;6,'Vstupní hodnoty'!$H$6*Model!D31,IF(Model!$B$5&gt;3,'Vstupní hodnoty'!$H$5*Model!D31,IF(Model!$B$5&gt;1,'Vstupní hodnoty'!$H$4*Model!D31,0)))))</f>
        <v>6498</v>
      </c>
      <c r="K31" s="5">
        <f>F31+G31+H31+E31*'Vstupní hodnoty'!L$4+J31*'Vstupní hodnoty'!L$4+I31*'Vstupní hodnoty'!L$4</f>
        <v>100697.39523809524</v>
      </c>
      <c r="L31" s="5">
        <f t="shared" si="1"/>
        <v>2649.9314536340853</v>
      </c>
      <c r="X31" s="14">
        <v>38</v>
      </c>
      <c r="Y31" s="5">
        <f>INDEX('Vstupní hodnoty'!$A$4:$A$15, MATCH(Model!$V$2,'Vstupní hodnoty'!$B$4:$B$15,0))/30*(X31+1*X31/7)</f>
        <v>66778.666666666672</v>
      </c>
      <c r="Z31">
        <f t="shared" si="2"/>
        <v>0</v>
      </c>
      <c r="AA31">
        <f t="shared" si="3"/>
        <v>24000</v>
      </c>
      <c r="AB31">
        <f>IF(X31&lt;14, 0, IF(AND(X31&gt;20,$V$4&lt;3,$V$3&lt;2), 'Vstupní hodnoty'!$I$6, IF(AND(X31&gt;20, $V$4&lt;4, $V$3&lt;4), 'Vstupní hodnoty'!$I$5, 'Vstupní hodnoty'!$I$4)))</f>
        <v>27000</v>
      </c>
      <c r="AC31">
        <f>IF($V$7=1, 'Vstupní hodnoty'!$J$4*(2/3)/30*Model!X31, 0)</f>
        <v>0</v>
      </c>
      <c r="AD31">
        <f>IF(Model!$V$5&gt;12,'Vstupní hodnoty'!$H$8*Model!X31,IF(Model!$V$5&gt;9,'Vstupní hodnoty'!$H$7*Model!X31,IF(Model!$V$5&gt;6,'Vstupní hodnoty'!$H$6*Model!X31,IF(Model!$V$5&gt;3,'Vstupní hodnoty'!$H$5*Model!X31,IF(Model!$V$5&gt;1,'Vstupní hodnoty'!$H$4*Model!X31,0)))))</f>
        <v>9766</v>
      </c>
      <c r="AE31" s="5">
        <f>Z31+AA31+AB31+Y31*'Vstupní hodnoty'!L$4+AD31*'Vstupní hodnoty'!L$4+AC31*'Vstupní hodnoty'!L$4</f>
        <v>116062.96666666667</v>
      </c>
      <c r="AF31" s="5">
        <f t="shared" si="4"/>
        <v>3054.2885964912284</v>
      </c>
      <c r="AK31" s="14">
        <v>38</v>
      </c>
      <c r="AL31" s="5">
        <f>INDEX('Vstupní hodnoty'!$A$4:$A$15, MATCH(Model!$AI$2,'Vstupní hodnoty'!$B$4:$B$15,0))/30*(AK31+1*AK31/7)</f>
        <v>66778.666666666672</v>
      </c>
      <c r="AM31">
        <f t="shared" si="5"/>
        <v>0</v>
      </c>
      <c r="AN31">
        <f t="shared" si="6"/>
        <v>24000</v>
      </c>
      <c r="AO31">
        <f>IF(OR(AK31&lt;14, AI$3=4, AI$4=4),0,IF(AK31&lt;21,'Vstupní hodnoty'!N$4,IF(AK31&lt;28,'Vstupní hodnoty'!N$5,IF(AK31&lt;35,'Vstupní hodnoty'!N$6,'Vstupní hodnoty'!N$6))))+IF(OR(AK31&lt;21, AI$4=4),0,IF(AI$3&lt;2,'Vstupní hodnoty'!O$6*'Vstupní hodnoty'!$A$17*(AK31-20),IF(Model!AI$3&lt;3,'Vstupní hodnoty'!O$5*'Vstupní hodnoty'!$A$17*(AK31-20),IF(Model!AI$3&lt;4,'Vstupní hodnoty'!O$4*'Vstupní hodnoty'!$A$17*(AK31-20),0))))+IF(OR(AK31&lt;21, AI$3=4), 0, IF(AI$4=1, 'Vstupní hodnoty'!P$6, IF(Model!AI$4=2, 'Vstupní hodnoty'!P$5, IF(Model!AI$4=3, 'Vstupní hodnoty'!P$4, 0))))</f>
        <v>47424</v>
      </c>
      <c r="AP31">
        <f>IF($AI$7=1, 'Vstupní hodnoty'!J$4*(2/3)/30*Model!AK31, 0)</f>
        <v>0</v>
      </c>
      <c r="AQ31">
        <f>IF(Model!$AI$5&gt;12,'Vstupní hodnoty'!$H$8*Model!AK31,IF(Model!$AI$5&gt;9,'Vstupní hodnoty'!$H$7*Model!AK31,IF(Model!$AI$5&gt;6,'Vstupní hodnoty'!$H$6*Model!AK31,IF(Model!$AI$5&gt;3,'Vstupní hodnoty'!$H$5*Model!AK31,IF(Model!$AI$5&gt;1,'Vstupní hodnoty'!$H$4*Model!AK31,0)))))</f>
        <v>9766</v>
      </c>
      <c r="AR31" s="5">
        <f>AM31+AN31+AO31+AL31*'Vstupní hodnoty'!L$4+AQ31*'Vstupní hodnoty'!L$4+AP31*'Vstupní hodnoty'!L$4</f>
        <v>136486.96666666667</v>
      </c>
      <c r="AS31" s="5">
        <f t="shared" si="7"/>
        <v>3591.7622807017547</v>
      </c>
      <c r="AX31" s="14">
        <v>38</v>
      </c>
      <c r="AY31" s="5">
        <f>INDEX('Vstupní hodnoty'!$A$4:$A$15, MATCH(Model!$AV$2,'Vstupní hodnoty'!$B$4:$B$15,0))/30*(AX31+1*AX31/7)</f>
        <v>51969.523809523816</v>
      </c>
      <c r="AZ31">
        <f t="shared" si="8"/>
        <v>0</v>
      </c>
      <c r="BA31">
        <f t="shared" si="9"/>
        <v>24000</v>
      </c>
      <c r="BB31" s="5">
        <f>IF(OR(AV$3=4,AV$4=4),0,'Roční bonus alt 2'!D30)+IF(OR(AX31&lt;21,AV$3=4,AV$4=4),0,IF(AV$3&lt;2,'Vstupní hodnoty'!O$6*'Vstupní hodnoty'!$A$17*(Model!AX31-20),IF(Model!AV$3&lt;3,'Vstupní hodnoty'!O$5*'Vstupní hodnoty'!$A$17*(Model!AX31-20),IF(Model!AV$3&lt;4,'Vstupní hodnoty'!O$4*'Vstupní hodnoty'!$A$17*(Model!AX31-20),0))))+IF(OR(AX31&lt;21,AV$3=4,AV$4=4),0,IF(AV$4=1,'Vstupní hodnoty'!P$6,IF(Model!AV$4=2,'Vstupní hodnoty'!P$5,IF(Model!AV$4=3,'Vstupní hodnoty'!P$4,0))))</f>
        <v>48810.666666666672</v>
      </c>
      <c r="BC31">
        <f>IF($AV$7=1, 'Vstupní hodnoty'!J$4*(2/3)/30*Model!AX31, 0)</f>
        <v>0</v>
      </c>
      <c r="BD31">
        <f>IF(Model!$AV$5&gt;12,'Vstupní hodnoty'!$Q$8*Model!AX31,IF(Model!$AV$5&gt;9,'Vstupní hodnoty'!$Q$7*Model!AX31,IF(Model!$AV$5&gt;6,'Vstupní hodnoty'!$Q$6*Model!AX31,IF(Model!$AV$5&gt;3,'Vstupní hodnoty'!$Q$5*Model!AX31,IF(Model!$AV$5&gt;1,'Vstupní hodnoty'!$Q$4*Model!AX31,0)))))</f>
        <v>11856</v>
      </c>
      <c r="BE31" s="5">
        <f>AZ31+BA31+BB31+AY31*'Vstupní hodnoty'!L$4+BD31*'Vstupní hodnoty'!L$4+BC31*'Vstupní hodnoty'!L$4</f>
        <v>127062.36190476193</v>
      </c>
      <c r="BF31" s="5">
        <f t="shared" si="10"/>
        <v>3343.7463659147875</v>
      </c>
    </row>
    <row r="32" spans="4:58" x14ac:dyDescent="0.2">
      <c r="D32" s="14">
        <v>39</v>
      </c>
      <c r="E32" s="5">
        <f>INDEX('Vstupní hodnoty'!$A$4:$A$15, MATCH(Model!$B$2,'Vstupní hodnoty'!$B$4:$B$15,0))/30*(D32+1*D32/7)</f>
        <v>53337.142857142855</v>
      </c>
      <c r="F32">
        <f t="shared" si="0"/>
        <v>0</v>
      </c>
      <c r="G32">
        <f t="shared" si="11"/>
        <v>24000</v>
      </c>
      <c r="H32">
        <f>IF(D32&lt;14, 0, IF(AND(D32&gt;20,$B$4&lt;3,$B$3&lt;2), 'Vstupní hodnoty'!K$6, IF(AND(D32&gt;20, $B$4&lt;3, $B$3&lt;4), 'Vstupní hodnoty'!$K$5, 'Vstupní hodnoty'!$K$4)))</f>
        <v>27000</v>
      </c>
      <c r="I32">
        <f>IF($B$7=1, 'Vstupní hodnoty'!J$4*(2/3)/30*Model!D32, 0)</f>
        <v>0</v>
      </c>
      <c r="J32">
        <f>IF(Model!$B$5&gt;12,'Vstupní hodnoty'!$H$8*Model!D32,IF(Model!$B$5&gt;9,'Vstupní hodnoty'!$H$7*Model!D32,IF(Model!$B$5&gt;6,'Vstupní hodnoty'!$H$6*Model!D32,IF(Model!$B$5&gt;3,'Vstupní hodnoty'!$H$5*Model!D32,IF(Model!$B$5&gt;1,'Vstupní hodnoty'!$H$4*Model!D32,0)))))</f>
        <v>6669</v>
      </c>
      <c r="K32" s="5">
        <f>F32+G32+H32+E32*'Vstupní hodnoty'!L$4+J32*'Vstupní hodnoty'!L$4+I32*'Vstupní hodnoty'!L$4</f>
        <v>102005.22142857141</v>
      </c>
      <c r="L32" s="5">
        <f t="shared" si="1"/>
        <v>2615.5184981684979</v>
      </c>
      <c r="X32" s="14">
        <v>39</v>
      </c>
      <c r="Y32" s="5">
        <f>INDEX('Vstupní hodnoty'!$A$4:$A$15, MATCH(Model!$V$2,'Vstupní hodnoty'!$B$4:$B$15,0))/30*(X32+1*X32/7)</f>
        <v>68536</v>
      </c>
      <c r="Z32">
        <f t="shared" si="2"/>
        <v>0</v>
      </c>
      <c r="AA32">
        <f t="shared" si="3"/>
        <v>24000</v>
      </c>
      <c r="AB32">
        <f>IF(X32&lt;14, 0, IF(AND(X32&gt;20,$V$4&lt;3,$V$3&lt;2), 'Vstupní hodnoty'!$I$6, IF(AND(X32&gt;20, $V$4&lt;4, $V$3&lt;4), 'Vstupní hodnoty'!$I$5, 'Vstupní hodnoty'!$I$4)))</f>
        <v>27000</v>
      </c>
      <c r="AC32">
        <f>IF($V$7=1, 'Vstupní hodnoty'!$J$4*(2/3)/30*Model!X32, 0)</f>
        <v>0</v>
      </c>
      <c r="AD32">
        <f>IF(Model!$V$5&gt;12,'Vstupní hodnoty'!$H$8*Model!X32,IF(Model!$V$5&gt;9,'Vstupní hodnoty'!$H$7*Model!X32,IF(Model!$V$5&gt;6,'Vstupní hodnoty'!$H$6*Model!X32,IF(Model!$V$5&gt;3,'Vstupní hodnoty'!$H$5*Model!X32,IF(Model!$V$5&gt;1,'Vstupní hodnoty'!$H$4*Model!X32,0)))))</f>
        <v>10023</v>
      </c>
      <c r="AE32" s="5">
        <f>Z32+AA32+AB32+Y32*'Vstupní hodnoty'!L$4+AD32*'Vstupní hodnoty'!L$4+AC32*'Vstupní hodnoty'!L$4</f>
        <v>117775.15000000001</v>
      </c>
      <c r="AF32" s="5">
        <f t="shared" si="4"/>
        <v>3019.8756410256415</v>
      </c>
      <c r="AK32" s="14">
        <v>39</v>
      </c>
      <c r="AL32" s="5">
        <f>INDEX('Vstupní hodnoty'!$A$4:$A$15, MATCH(Model!$AI$2,'Vstupní hodnoty'!$B$4:$B$15,0))/30*(AK32+1*AK32/7)</f>
        <v>68536</v>
      </c>
      <c r="AM32">
        <f t="shared" si="5"/>
        <v>0</v>
      </c>
      <c r="AN32">
        <f t="shared" si="6"/>
        <v>24000</v>
      </c>
      <c r="AO32">
        <f>IF(OR(AK32&lt;14, AI$3=4, AI$4=4),0,IF(AK32&lt;21,'Vstupní hodnoty'!N$4,IF(AK32&lt;28,'Vstupní hodnoty'!N$5,IF(AK32&lt;35,'Vstupní hodnoty'!N$6,'Vstupní hodnoty'!N$6))))+IF(OR(AK32&lt;21, AI$4=4),0,IF(AI$3&lt;2,'Vstupní hodnoty'!O$6*'Vstupní hodnoty'!$A$17*(AK32-20),IF(Model!AI$3&lt;3,'Vstupní hodnoty'!O$5*'Vstupní hodnoty'!$A$17*(AK32-20),IF(Model!AI$3&lt;4,'Vstupní hodnoty'!O$4*'Vstupní hodnoty'!$A$17*(AK32-20),0))))+IF(OR(AK32&lt;21, AI$3=4), 0, IF(AI$4=1, 'Vstupní hodnoty'!P$6, IF(Model!AI$4=2, 'Vstupní hodnoty'!P$5, IF(Model!AI$4=3, 'Vstupní hodnoty'!P$4, 0))))</f>
        <v>47632</v>
      </c>
      <c r="AP32">
        <f>IF($AI$7=1, 'Vstupní hodnoty'!J$4*(2/3)/30*Model!AK32, 0)</f>
        <v>0</v>
      </c>
      <c r="AQ32">
        <f>IF(Model!$AI$5&gt;12,'Vstupní hodnoty'!$H$8*Model!AK32,IF(Model!$AI$5&gt;9,'Vstupní hodnoty'!$H$7*Model!AK32,IF(Model!$AI$5&gt;6,'Vstupní hodnoty'!$H$6*Model!AK32,IF(Model!$AI$5&gt;3,'Vstupní hodnoty'!$H$5*Model!AK32,IF(Model!$AI$5&gt;1,'Vstupní hodnoty'!$H$4*Model!AK32,0)))))</f>
        <v>10023</v>
      </c>
      <c r="AR32" s="5">
        <f>AM32+AN32+AO32+AL32*'Vstupní hodnoty'!L$4+AQ32*'Vstupní hodnoty'!L$4+AP32*'Vstupní hodnoty'!L$4</f>
        <v>138407.15</v>
      </c>
      <c r="AS32" s="5">
        <f t="shared" si="7"/>
        <v>3548.9012820512821</v>
      </c>
      <c r="AX32" s="14">
        <v>39</v>
      </c>
      <c r="AY32" s="5">
        <f>INDEX('Vstupní hodnoty'!$A$4:$A$15, MATCH(Model!$AV$2,'Vstupní hodnoty'!$B$4:$B$15,0))/30*(AX32+1*AX32/7)</f>
        <v>53337.142857142855</v>
      </c>
      <c r="AZ32">
        <f t="shared" si="8"/>
        <v>0</v>
      </c>
      <c r="BA32">
        <f t="shared" si="9"/>
        <v>24000</v>
      </c>
      <c r="BB32" s="5">
        <f>IF(OR(AV$3=4,AV$4=4),0,'Roční bonus alt 2'!D31)+IF(OR(AX32&lt;21,AV$3=4,AV$4=4),0,IF(AV$3&lt;2,'Vstupní hodnoty'!O$6*'Vstupní hodnoty'!$A$17*(Model!AX32-20),IF(Model!AV$3&lt;3,'Vstupní hodnoty'!O$5*'Vstupní hodnoty'!$A$17*(Model!AX32-20),IF(Model!AV$3&lt;4,'Vstupní hodnoty'!O$4*'Vstupní hodnoty'!$A$17*(Model!AX32-20),0))))+IF(OR(AX32&lt;21,AV$3=4,AV$4=4),0,IF(AV$4=1,'Vstupní hodnoty'!P$6,IF(Model!AV$4=2,'Vstupní hodnoty'!P$5,IF(Model!AV$4=3,'Vstupní hodnoty'!P$4,0))))</f>
        <v>50405.333333333336</v>
      </c>
      <c r="BC32">
        <f>IF($AV$7=1, 'Vstupní hodnoty'!J$4*(2/3)/30*Model!AX32, 0)</f>
        <v>0</v>
      </c>
      <c r="BD32">
        <f>IF(Model!$AV$5&gt;12,'Vstupní hodnoty'!$Q$8*Model!AX32,IF(Model!$AV$5&gt;9,'Vstupní hodnoty'!$Q$7*Model!AX32,IF(Model!$AV$5&gt;6,'Vstupní hodnoty'!$Q$6*Model!AX32,IF(Model!$AV$5&gt;3,'Vstupní hodnoty'!$Q$5*Model!AX32,IF(Model!$AV$5&gt;1,'Vstupní hodnoty'!$Q$4*Model!AX32,0)))))</f>
        <v>12168</v>
      </c>
      <c r="BE32" s="5">
        <f>AZ32+BA32+BB32+AY32*'Vstupní hodnoty'!L$4+BD32*'Vstupní hodnoty'!L$4+BC32*'Vstupní hodnoty'!L$4</f>
        <v>130084.70476190477</v>
      </c>
      <c r="BF32" s="5">
        <f t="shared" si="10"/>
        <v>3335.5052503052502</v>
      </c>
    </row>
    <row r="33" spans="4:58" x14ac:dyDescent="0.2">
      <c r="D33" s="14">
        <v>40</v>
      </c>
      <c r="E33" s="5">
        <f>INDEX('Vstupní hodnoty'!$A$4:$A$15, MATCH(Model!$B$2,'Vstupní hodnoty'!$B$4:$B$15,0))/30*(D33+1*D33/7)</f>
        <v>54704.761904761908</v>
      </c>
      <c r="F33">
        <f t="shared" si="0"/>
        <v>0</v>
      </c>
      <c r="G33">
        <f t="shared" si="11"/>
        <v>24000</v>
      </c>
      <c r="H33">
        <f>IF(D33&lt;14, 0, IF(AND(D33&gt;20,$B$4&lt;3,$B$3&lt;2), 'Vstupní hodnoty'!K$6, IF(AND(D33&gt;20, $B$4&lt;3, $B$3&lt;4), 'Vstupní hodnoty'!$K$5, 'Vstupní hodnoty'!$K$4)))</f>
        <v>27000</v>
      </c>
      <c r="I33">
        <f>IF($B$7=1, 'Vstupní hodnoty'!J$4*(2/3)/30*Model!D33, 0)</f>
        <v>0</v>
      </c>
      <c r="J33">
        <f>IF(Model!$B$5&gt;12,'Vstupní hodnoty'!$H$8*Model!D33,IF(Model!$B$5&gt;9,'Vstupní hodnoty'!$H$7*Model!D33,IF(Model!$B$5&gt;6,'Vstupní hodnoty'!$H$6*Model!D33,IF(Model!$B$5&gt;3,'Vstupní hodnoty'!$H$5*Model!D33,IF(Model!$B$5&gt;1,'Vstupní hodnoty'!$H$4*Model!D33,0)))))</f>
        <v>6840</v>
      </c>
      <c r="K33" s="5">
        <f>F33+G33+H33+E33*'Vstupní hodnoty'!L$4+J33*'Vstupní hodnoty'!L$4+I33*'Vstupní hodnoty'!L$4</f>
        <v>103313.04761904762</v>
      </c>
      <c r="L33" s="5">
        <f t="shared" si="1"/>
        <v>2582.8261904761903</v>
      </c>
      <c r="X33" s="14">
        <v>40</v>
      </c>
      <c r="Y33" s="5">
        <f>INDEX('Vstupní hodnoty'!$A$4:$A$15, MATCH(Model!$V$2,'Vstupní hodnoty'!$B$4:$B$15,0))/30*(X33+1*X33/7)</f>
        <v>70293.333333333343</v>
      </c>
      <c r="Z33">
        <f t="shared" si="2"/>
        <v>0</v>
      </c>
      <c r="AA33">
        <f t="shared" si="3"/>
        <v>24000</v>
      </c>
      <c r="AB33">
        <f>IF(X33&lt;14, 0, IF(AND(X33&gt;20,$V$4&lt;3,$V$3&lt;2), 'Vstupní hodnoty'!$I$6, IF(AND(X33&gt;20, $V$4&lt;4, $V$3&lt;4), 'Vstupní hodnoty'!$I$5, 'Vstupní hodnoty'!$I$4)))</f>
        <v>27000</v>
      </c>
      <c r="AC33">
        <f>IF($V$7=1, 'Vstupní hodnoty'!$J$4*(2/3)/30*Model!X33, 0)</f>
        <v>0</v>
      </c>
      <c r="AD33">
        <f>IF(Model!$V$5&gt;12,'Vstupní hodnoty'!$H$8*Model!X33,IF(Model!$V$5&gt;9,'Vstupní hodnoty'!$H$7*Model!X33,IF(Model!$V$5&gt;6,'Vstupní hodnoty'!$H$6*Model!X33,IF(Model!$V$5&gt;3,'Vstupní hodnoty'!$H$5*Model!X33,IF(Model!$V$5&gt;1,'Vstupní hodnoty'!$H$4*Model!X33,0)))))</f>
        <v>10280</v>
      </c>
      <c r="AE33" s="5">
        <f>Z33+AA33+AB33+Y33*'Vstupní hodnoty'!L$4+AD33*'Vstupní hodnoty'!L$4+AC33*'Vstupní hodnoty'!L$4</f>
        <v>119487.33333333334</v>
      </c>
      <c r="AF33" s="5">
        <f t="shared" si="4"/>
        <v>2987.1833333333334</v>
      </c>
      <c r="AK33" s="14">
        <v>40</v>
      </c>
      <c r="AL33" s="5">
        <f>INDEX('Vstupní hodnoty'!$A$4:$A$15, MATCH(Model!$AI$2,'Vstupní hodnoty'!$B$4:$B$15,0))/30*(AK33+1*AK33/7)</f>
        <v>70293.333333333343</v>
      </c>
      <c r="AM33">
        <f t="shared" si="5"/>
        <v>0</v>
      </c>
      <c r="AN33">
        <f t="shared" si="6"/>
        <v>24000</v>
      </c>
      <c r="AO33">
        <f>IF(OR(AK33&lt;14, AI$3=4, AI$4=4),0,IF(AK33&lt;21,'Vstupní hodnoty'!N$4,IF(AK33&lt;28,'Vstupní hodnoty'!N$5,IF(AK33&lt;35,'Vstupní hodnoty'!N$6,'Vstupní hodnoty'!N$6))))+IF(OR(AK33&lt;21, AI$4=4),0,IF(AI$3&lt;2,'Vstupní hodnoty'!O$6*'Vstupní hodnoty'!$A$17*(AK33-20),IF(Model!AI$3&lt;3,'Vstupní hodnoty'!O$5*'Vstupní hodnoty'!$A$17*(AK33-20),IF(Model!AI$3&lt;4,'Vstupní hodnoty'!O$4*'Vstupní hodnoty'!$A$17*(AK33-20),0))))+IF(OR(AK33&lt;21, AI$3=4), 0, IF(AI$4=1, 'Vstupní hodnoty'!P$6, IF(Model!AI$4=2, 'Vstupní hodnoty'!P$5, IF(Model!AI$4=3, 'Vstupní hodnoty'!P$4, 0))))</f>
        <v>47840</v>
      </c>
      <c r="AP33">
        <f>IF($AI$7=1, 'Vstupní hodnoty'!J$4*(2/3)/30*Model!AK33, 0)</f>
        <v>0</v>
      </c>
      <c r="AQ33">
        <f>IF(Model!$AI$5&gt;12,'Vstupní hodnoty'!$H$8*Model!AK33,IF(Model!$AI$5&gt;9,'Vstupní hodnoty'!$H$7*Model!AK33,IF(Model!$AI$5&gt;6,'Vstupní hodnoty'!$H$6*Model!AK33,IF(Model!$AI$5&gt;3,'Vstupní hodnoty'!$H$5*Model!AK33,IF(Model!$AI$5&gt;1,'Vstupní hodnoty'!$H$4*Model!AK33,0)))))</f>
        <v>10280</v>
      </c>
      <c r="AR33" s="5">
        <f>AM33+AN33+AO33+AL33*'Vstupní hodnoty'!L$4+AQ33*'Vstupní hodnoty'!L$4+AP33*'Vstupní hodnoty'!L$4</f>
        <v>140327.33333333334</v>
      </c>
      <c r="AS33" s="5">
        <f t="shared" si="7"/>
        <v>3508.1833333333334</v>
      </c>
      <c r="AX33" s="14">
        <v>40</v>
      </c>
      <c r="AY33" s="5">
        <f>INDEX('Vstupní hodnoty'!$A$4:$A$15, MATCH(Model!$AV$2,'Vstupní hodnoty'!$B$4:$B$15,0))/30*(AX33+1*AX33/7)</f>
        <v>54704.761904761908</v>
      </c>
      <c r="AZ33">
        <f t="shared" si="8"/>
        <v>0</v>
      </c>
      <c r="BA33">
        <f t="shared" si="9"/>
        <v>24000</v>
      </c>
      <c r="BB33" s="5">
        <f>IF(OR(AV$3=4,AV$4=4),0,'Roční bonus alt 2'!D32)+IF(OR(AX33&lt;21,AV$3=4,AV$4=4),0,IF(AV$3&lt;2,'Vstupní hodnoty'!O$6*'Vstupní hodnoty'!$A$17*(Model!AX33-20),IF(Model!AV$3&lt;3,'Vstupní hodnoty'!O$5*'Vstupní hodnoty'!$A$17*(Model!AX33-20),IF(Model!AV$3&lt;4,'Vstupní hodnoty'!O$4*'Vstupní hodnoty'!$A$17*(Model!AX33-20),0))))+IF(OR(AX33&lt;21,AV$3=4,AV$4=4),0,IF(AV$4=1,'Vstupní hodnoty'!P$6,IF(Model!AV$4=2,'Vstupní hodnoty'!P$5,IF(Model!AV$4=3,'Vstupní hodnoty'!P$4,0))))</f>
        <v>52000</v>
      </c>
      <c r="BC33">
        <f>IF($AV$7=1, 'Vstupní hodnoty'!J$4*(2/3)/30*Model!AX33, 0)</f>
        <v>0</v>
      </c>
      <c r="BD33">
        <f>IF(Model!$AV$5&gt;12,'Vstupní hodnoty'!$Q$8*Model!AX33,IF(Model!$AV$5&gt;9,'Vstupní hodnoty'!$Q$7*Model!AX33,IF(Model!$AV$5&gt;6,'Vstupní hodnoty'!$Q$6*Model!AX33,IF(Model!$AV$5&gt;3,'Vstupní hodnoty'!$Q$5*Model!AX33,IF(Model!$AV$5&gt;1,'Vstupní hodnoty'!$Q$4*Model!AX33,0)))))</f>
        <v>12480</v>
      </c>
      <c r="BE33" s="5">
        <f>AZ33+BA33+BB33+AY33*'Vstupní hodnoty'!L$4+BD33*'Vstupní hodnoty'!L$4+BC33*'Vstupní hodnoty'!L$4</f>
        <v>133107.04761904763</v>
      </c>
      <c r="BF33" s="5">
        <f t="shared" si="10"/>
        <v>3327.6761904761906</v>
      </c>
    </row>
    <row r="34" spans="4:58" x14ac:dyDescent="0.2">
      <c r="D34" s="14">
        <v>41</v>
      </c>
      <c r="E34" s="5">
        <f>INDEX('Vstupní hodnoty'!$A$4:$A$15, MATCH(Model!$B$2,'Vstupní hodnoty'!$B$4:$B$15,0))/30*(D34+1*D34/7)</f>
        <v>56072.380952380954</v>
      </c>
      <c r="F34">
        <f t="shared" si="0"/>
        <v>0</v>
      </c>
      <c r="G34">
        <f t="shared" si="11"/>
        <v>24000</v>
      </c>
      <c r="H34">
        <f>IF(D34&lt;14, 0, IF(AND(D34&gt;20,$B$4&lt;3,$B$3&lt;2), 'Vstupní hodnoty'!K$6, IF(AND(D34&gt;20, $B$4&lt;3, $B$3&lt;4), 'Vstupní hodnoty'!$K$5, 'Vstupní hodnoty'!$K$4)))</f>
        <v>27000</v>
      </c>
      <c r="I34">
        <f>IF($B$7=1, 'Vstupní hodnoty'!J$4*(2/3)/30*Model!D34, 0)</f>
        <v>0</v>
      </c>
      <c r="J34">
        <f>IF(Model!$B$5&gt;12,'Vstupní hodnoty'!$H$8*Model!D34,IF(Model!$B$5&gt;9,'Vstupní hodnoty'!$H$7*Model!D34,IF(Model!$B$5&gt;6,'Vstupní hodnoty'!$H$6*Model!D34,IF(Model!$B$5&gt;3,'Vstupní hodnoty'!$H$5*Model!D34,IF(Model!$B$5&gt;1,'Vstupní hodnoty'!$H$4*Model!D34,0)))))</f>
        <v>7011</v>
      </c>
      <c r="K34" s="5">
        <f>F34+G34+H34+E34*'Vstupní hodnoty'!L$4+J34*'Vstupní hodnoty'!L$4+I34*'Vstupní hodnoty'!L$4</f>
        <v>104620.87380952382</v>
      </c>
      <c r="L34" s="5">
        <f t="shared" si="1"/>
        <v>2551.7286295005811</v>
      </c>
      <c r="X34" s="14">
        <v>41</v>
      </c>
      <c r="Y34" s="5">
        <f>INDEX('Vstupní hodnoty'!$A$4:$A$15, MATCH(Model!$V$2,'Vstupní hodnoty'!$B$4:$B$15,0))/30*(X34+1*X34/7)</f>
        <v>72050.666666666672</v>
      </c>
      <c r="Z34">
        <f t="shared" si="2"/>
        <v>0</v>
      </c>
      <c r="AA34">
        <f t="shared" si="3"/>
        <v>24000</v>
      </c>
      <c r="AB34">
        <f>IF(X34&lt;14, 0, IF(AND(X34&gt;20,$V$4&lt;3,$V$3&lt;2), 'Vstupní hodnoty'!$I$6, IF(AND(X34&gt;20, $V$4&lt;4, $V$3&lt;4), 'Vstupní hodnoty'!$I$5, 'Vstupní hodnoty'!$I$4)))</f>
        <v>27000</v>
      </c>
      <c r="AC34">
        <f>IF($V$7=1, 'Vstupní hodnoty'!$J$4*(2/3)/30*Model!X34, 0)</f>
        <v>0</v>
      </c>
      <c r="AD34">
        <f>IF(Model!$V$5&gt;12,'Vstupní hodnoty'!$H$8*Model!X34,IF(Model!$V$5&gt;9,'Vstupní hodnoty'!$H$7*Model!X34,IF(Model!$V$5&gt;6,'Vstupní hodnoty'!$H$6*Model!X34,IF(Model!$V$5&gt;3,'Vstupní hodnoty'!$H$5*Model!X34,IF(Model!$V$5&gt;1,'Vstupní hodnoty'!$H$4*Model!X34,0)))))</f>
        <v>10537</v>
      </c>
      <c r="AE34" s="5">
        <f>Z34+AA34+AB34+Y34*'Vstupní hodnoty'!L$4+AD34*'Vstupní hodnoty'!L$4+AC34*'Vstupní hodnoty'!L$4</f>
        <v>121199.51666666666</v>
      </c>
      <c r="AF34" s="5">
        <f t="shared" si="4"/>
        <v>2956.0857723577233</v>
      </c>
      <c r="AK34" s="14">
        <v>41</v>
      </c>
      <c r="AL34" s="5">
        <f>INDEX('Vstupní hodnoty'!$A$4:$A$15, MATCH(Model!$AI$2,'Vstupní hodnoty'!$B$4:$B$15,0))/30*(AK34+1*AK34/7)</f>
        <v>72050.666666666672</v>
      </c>
      <c r="AM34">
        <f t="shared" si="5"/>
        <v>0</v>
      </c>
      <c r="AN34">
        <f t="shared" si="6"/>
        <v>24000</v>
      </c>
      <c r="AO34">
        <f>IF(OR(AK34&lt;14, AI$3=4, AI$4=4),0,IF(AK34&lt;21,'Vstupní hodnoty'!N$4,IF(AK34&lt;28,'Vstupní hodnoty'!N$5,IF(AK34&lt;35,'Vstupní hodnoty'!N$6,'Vstupní hodnoty'!N$6))))+IF(OR(AK34&lt;21, AI$4=4),0,IF(AI$3&lt;2,'Vstupní hodnoty'!O$6*'Vstupní hodnoty'!$A$17*(AK34-20),IF(Model!AI$3&lt;3,'Vstupní hodnoty'!O$5*'Vstupní hodnoty'!$A$17*(AK34-20),IF(Model!AI$3&lt;4,'Vstupní hodnoty'!O$4*'Vstupní hodnoty'!$A$17*(AK34-20),0))))+IF(OR(AK34&lt;21, AI$3=4), 0, IF(AI$4=1, 'Vstupní hodnoty'!P$6, IF(Model!AI$4=2, 'Vstupní hodnoty'!P$5, IF(Model!AI$4=3, 'Vstupní hodnoty'!P$4, 0))))</f>
        <v>48048</v>
      </c>
      <c r="AP34">
        <f>IF($AI$7=1, 'Vstupní hodnoty'!J$4*(2/3)/30*Model!AK34, 0)</f>
        <v>0</v>
      </c>
      <c r="AQ34">
        <f>IF(Model!$AI$5&gt;12,'Vstupní hodnoty'!$H$8*Model!AK34,IF(Model!$AI$5&gt;9,'Vstupní hodnoty'!$H$7*Model!AK34,IF(Model!$AI$5&gt;6,'Vstupní hodnoty'!$H$6*Model!AK34,IF(Model!$AI$5&gt;3,'Vstupní hodnoty'!$H$5*Model!AK34,IF(Model!$AI$5&gt;1,'Vstupní hodnoty'!$H$4*Model!AK34,0)))))</f>
        <v>10537</v>
      </c>
      <c r="AR34" s="5">
        <f>AM34+AN34+AO34+AL34*'Vstupní hodnoty'!L$4+AQ34*'Vstupní hodnoty'!L$4+AP34*'Vstupní hodnoty'!L$4</f>
        <v>142247.51666666666</v>
      </c>
      <c r="AS34" s="5">
        <f t="shared" si="7"/>
        <v>3469.45162601626</v>
      </c>
      <c r="AX34" s="14">
        <v>41</v>
      </c>
      <c r="AY34" s="5">
        <f>INDEX('Vstupní hodnoty'!$A$4:$A$15, MATCH(Model!$AV$2,'Vstupní hodnoty'!$B$4:$B$15,0))/30*(AX34+1*AX34/7)</f>
        <v>56072.380952380954</v>
      </c>
      <c r="AZ34">
        <f t="shared" si="8"/>
        <v>0</v>
      </c>
      <c r="BA34">
        <f t="shared" si="9"/>
        <v>24000</v>
      </c>
      <c r="BB34" s="5">
        <f>IF(OR(AV$3=4,AV$4=4),0,'Roční bonus alt 2'!D33)+IF(OR(AX34&lt;21,AV$3=4,AV$4=4),0,IF(AV$3&lt;2,'Vstupní hodnoty'!O$6*'Vstupní hodnoty'!$A$17*(Model!AX34-20),IF(Model!AV$3&lt;3,'Vstupní hodnoty'!O$5*'Vstupní hodnoty'!$A$17*(Model!AX34-20),IF(Model!AV$3&lt;4,'Vstupní hodnoty'!O$4*'Vstupní hodnoty'!$A$17*(Model!AX34-20),0))))+IF(OR(AX34&lt;21,AV$3=4,AV$4=4),0,IF(AV$4=1,'Vstupní hodnoty'!P$6,IF(Model!AV$4=2,'Vstupní hodnoty'!P$5,IF(Model!AV$4=3,'Vstupní hodnoty'!P$4,0))))</f>
        <v>53594.666666666672</v>
      </c>
      <c r="BC34">
        <f>IF($AV$7=1, 'Vstupní hodnoty'!J$4*(2/3)/30*Model!AX34, 0)</f>
        <v>0</v>
      </c>
      <c r="BD34">
        <f>IF(Model!$AV$5&gt;12,'Vstupní hodnoty'!$Q$8*Model!AX34,IF(Model!$AV$5&gt;9,'Vstupní hodnoty'!$Q$7*Model!AX34,IF(Model!$AV$5&gt;6,'Vstupní hodnoty'!$Q$6*Model!AX34,IF(Model!$AV$5&gt;3,'Vstupní hodnoty'!$Q$5*Model!AX34,IF(Model!$AV$5&gt;1,'Vstupní hodnoty'!$Q$4*Model!AX34,0)))))</f>
        <v>12792</v>
      </c>
      <c r="BE34" s="5">
        <f>AZ34+BA34+BB34+AY34*'Vstupní hodnoty'!L$4+BD34*'Vstupní hodnoty'!L$4+BC34*'Vstupní hodnoty'!L$4</f>
        <v>136129.39047619049</v>
      </c>
      <c r="BF34" s="5">
        <f t="shared" si="10"/>
        <v>3320.2290360046459</v>
      </c>
    </row>
    <row r="35" spans="4:58" ht="17" thickBot="1" x14ac:dyDescent="0.25">
      <c r="D35" s="19">
        <v>42</v>
      </c>
      <c r="E35" s="20">
        <f>INDEX('Vstupní hodnoty'!$A$4:$A$15, MATCH(Model!$B$2,'Vstupní hodnoty'!$B$4:$B$15,0))/30*(D35+1*D35/7)</f>
        <v>57440</v>
      </c>
      <c r="F35" s="21">
        <f t="shared" si="0"/>
        <v>0</v>
      </c>
      <c r="G35" s="21">
        <f t="shared" si="11"/>
        <v>24000</v>
      </c>
      <c r="H35" s="21">
        <f>IF(D35&lt;14, 0, IF(AND(D35&gt;20,$B$4&lt;3,$B$3&lt;2), 'Vstupní hodnoty'!K$6, IF(AND(D35&gt;20, $B$4&lt;3, $B$3&lt;4), 'Vstupní hodnoty'!$K$5, 'Vstupní hodnoty'!$K$4)))</f>
        <v>27000</v>
      </c>
      <c r="I35" s="21">
        <f>IF($B$7=1, 'Vstupní hodnoty'!J$4*(2/3)/30*Model!D35, 0)</f>
        <v>0</v>
      </c>
      <c r="J35" s="21">
        <f>IF(Model!$B$5&gt;12,'Vstupní hodnoty'!$H$8*Model!D35,IF(Model!$B$5&gt;9,'Vstupní hodnoty'!$H$7*Model!D35,IF(Model!$B$5&gt;6,'Vstupní hodnoty'!$H$6*Model!D35,IF(Model!$B$5&gt;3,'Vstupní hodnoty'!$H$5*Model!D35,IF(Model!$B$5&gt;1,'Vstupní hodnoty'!$H$4*Model!D35,0)))))</f>
        <v>7182</v>
      </c>
      <c r="K35" s="5">
        <f>F35+G35+H35+E35*'Vstupní hodnoty'!L$4+J35*'Vstupní hodnoty'!L$4+I35*'Vstupní hodnoty'!L$4</f>
        <v>105928.7</v>
      </c>
      <c r="L35" s="5">
        <f t="shared" si="1"/>
        <v>2522.1119047619045</v>
      </c>
      <c r="X35" s="19">
        <v>42</v>
      </c>
      <c r="Y35" s="20">
        <f>INDEX('Vstupní hodnoty'!$A$4:$A$15, MATCH(Model!$V$2,'Vstupní hodnoty'!$B$4:$B$15,0))/30*(X35+1*X35/7)</f>
        <v>73808</v>
      </c>
      <c r="Z35" s="21">
        <f t="shared" si="2"/>
        <v>0</v>
      </c>
      <c r="AA35" s="21">
        <f t="shared" si="3"/>
        <v>24000</v>
      </c>
      <c r="AB35" s="21">
        <f>IF(X35&lt;14, 0, IF(AND(X35&gt;20,$V$4&lt;3,$V$3&lt;2), 'Vstupní hodnoty'!$I$6, IF(AND(X35&gt;20, $V$4&lt;4, $V$3&lt;4), 'Vstupní hodnoty'!$I$5, 'Vstupní hodnoty'!$I$4)))</f>
        <v>27000</v>
      </c>
      <c r="AC35" s="21">
        <f>IF($V$7=1, 'Vstupní hodnoty'!$J$4*(2/3)/30*Model!X35, 0)</f>
        <v>0</v>
      </c>
      <c r="AD35" s="21">
        <f>IF(Model!$V$5&gt;12,'Vstupní hodnoty'!$H$8*Model!X35,IF(Model!$V$5&gt;9,'Vstupní hodnoty'!$H$7*Model!X35,IF(Model!$V$5&gt;6,'Vstupní hodnoty'!$H$6*Model!X35,IF(Model!$V$5&gt;3,'Vstupní hodnoty'!$H$5*Model!X35,IF(Model!$V$5&gt;1,'Vstupní hodnoty'!$H$4*Model!X35,0)))))</f>
        <v>10794</v>
      </c>
      <c r="AE35" s="5">
        <f>Z35+AA35+AB35+Y35*'Vstupní hodnoty'!L$4+AD35*'Vstupní hodnoty'!L$4+AC35*'Vstupní hodnoty'!L$4</f>
        <v>122911.69999999998</v>
      </c>
      <c r="AF35" s="5">
        <f t="shared" si="4"/>
        <v>2926.4690476190472</v>
      </c>
      <c r="AK35" s="14">
        <v>42</v>
      </c>
      <c r="AL35" s="5">
        <f>INDEX('Vstupní hodnoty'!$A$4:$A$15, MATCH(Model!$AI$2,'Vstupní hodnoty'!$B$4:$B$15,0))/30*(AK35+1*AK35/7)</f>
        <v>73808</v>
      </c>
      <c r="AM35">
        <f t="shared" si="5"/>
        <v>0</v>
      </c>
      <c r="AN35">
        <f t="shared" si="6"/>
        <v>24000</v>
      </c>
      <c r="AO35">
        <f>IF(OR(AK35&lt;14, AI$3=4, AI$4=4),0,IF(AK35&lt;21,'Vstupní hodnoty'!N$4,IF(AK35&lt;28,'Vstupní hodnoty'!N$5,IF(AK35&lt;35,'Vstupní hodnoty'!N$6,'Vstupní hodnoty'!N$6))))+IF(OR(AK35&lt;21, AI$4=4),0,IF(AI$3&lt;2,'Vstupní hodnoty'!O$6*'Vstupní hodnoty'!$A$17*(AK35-20),IF(Model!AI$3&lt;3,'Vstupní hodnoty'!O$5*'Vstupní hodnoty'!$A$17*(AK35-20),IF(Model!AI$3&lt;4,'Vstupní hodnoty'!O$4*'Vstupní hodnoty'!$A$17*(AK35-20),0))))+IF(OR(AK35&lt;21, AI$3=4), 0, IF(AI$4=1, 'Vstupní hodnoty'!P$6, IF(Model!AI$4=2, 'Vstupní hodnoty'!P$5, IF(Model!AI$4=3, 'Vstupní hodnoty'!P$4, 0))))</f>
        <v>48256</v>
      </c>
      <c r="AP35">
        <f>IF($AI$7=1, 'Vstupní hodnoty'!J$4*(2/3)/30*Model!AK35, 0)</f>
        <v>0</v>
      </c>
      <c r="AQ35">
        <f>IF(Model!$AI$5&gt;12,'Vstupní hodnoty'!$H$8*Model!AK35,IF(Model!$AI$5&gt;9,'Vstupní hodnoty'!$H$7*Model!AK35,IF(Model!$AI$5&gt;6,'Vstupní hodnoty'!$H$6*Model!AK35,IF(Model!$AI$5&gt;3,'Vstupní hodnoty'!$H$5*Model!AK35,IF(Model!$AI$5&gt;1,'Vstupní hodnoty'!$H$4*Model!AK35,0)))))</f>
        <v>10794</v>
      </c>
      <c r="AR35" s="5">
        <f>AM35+AN35+AO35+AL35*'Vstupní hodnoty'!L$4+AQ35*'Vstupní hodnoty'!L$4+AP35*'Vstupní hodnoty'!L$4</f>
        <v>144167.69999999998</v>
      </c>
      <c r="AS35" s="5">
        <f t="shared" si="7"/>
        <v>3432.5642857142852</v>
      </c>
      <c r="AX35" s="14">
        <v>42</v>
      </c>
      <c r="AY35" s="5">
        <f>INDEX('Vstupní hodnoty'!$A$4:$A$15, MATCH(Model!$AV$2,'Vstupní hodnoty'!$B$4:$B$15,0))/30*(AX35+1*AX35/7)</f>
        <v>57440</v>
      </c>
      <c r="AZ35">
        <f t="shared" si="8"/>
        <v>0</v>
      </c>
      <c r="BA35">
        <f t="shared" si="9"/>
        <v>24000</v>
      </c>
      <c r="BB35" s="5">
        <f>IF(OR(AV$3=4,AV$4=4),0,'Roční bonus alt 2'!D34)+IF(OR(AX35&lt;21,AV$3=4,AV$4=4),0,IF(AV$3&lt;2,'Vstupní hodnoty'!O$6*'Vstupní hodnoty'!$A$17*(Model!AX35-20),IF(Model!AV$3&lt;3,'Vstupní hodnoty'!O$5*'Vstupní hodnoty'!$A$17*(Model!AX35-20),IF(Model!AV$3&lt;4,'Vstupní hodnoty'!O$4*'Vstupní hodnoty'!$A$17*(Model!AX35-20),0))))+IF(OR(AX35&lt;21,AV$3=4,AV$4=4),0,IF(AV$4=1,'Vstupní hodnoty'!P$6,IF(Model!AV$4=2,'Vstupní hodnoty'!P$5,IF(Model!AV$4=3,'Vstupní hodnoty'!P$4,0))))</f>
        <v>55189.333333333336</v>
      </c>
      <c r="BC35">
        <f>IF($AV$7=1, 'Vstupní hodnoty'!J$4*(2/3)/30*Model!AX35, 0)</f>
        <v>0</v>
      </c>
      <c r="BD35">
        <f>IF(Model!$AV$5&gt;12,'Vstupní hodnoty'!$Q$8*Model!AX35,IF(Model!$AV$5&gt;9,'Vstupní hodnoty'!$Q$7*Model!AX35,IF(Model!$AV$5&gt;6,'Vstupní hodnoty'!$Q$6*Model!AX35,IF(Model!$AV$5&gt;3,'Vstupní hodnoty'!$Q$5*Model!AX35,IF(Model!$AV$5&gt;1,'Vstupní hodnoty'!$Q$4*Model!AX35,0)))))</f>
        <v>13104</v>
      </c>
      <c r="BE35" s="5">
        <f>AZ35+BA35+BB35+AY35*'Vstupní hodnoty'!L$4+BD35*'Vstupní hodnoty'!L$4+BC35*'Vstupní hodnoty'!L$4</f>
        <v>139151.73333333334</v>
      </c>
      <c r="BF35" s="5">
        <f t="shared" si="10"/>
        <v>3313.1365079365082</v>
      </c>
    </row>
    <row r="36" spans="4:58" ht="17" thickTop="1" x14ac:dyDescent="0.2">
      <c r="D36" s="14">
        <v>43</v>
      </c>
      <c r="E36" s="5">
        <f>INDEX('Vstupní hodnoty'!$A$4:$A$15, MATCH(Model!$B$2,'Vstupní hodnoty'!$B$4:$B$15,0))/30*(D36+1*D36/7)</f>
        <v>58807.619047619053</v>
      </c>
      <c r="F36">
        <f t="shared" si="0"/>
        <v>0</v>
      </c>
      <c r="G36">
        <f t="shared" si="11"/>
        <v>24000</v>
      </c>
      <c r="H36">
        <f>IF(D36&lt;14, 0, IF(AND(D36&gt;20,$B$4&lt;3,$B$3&lt;2), 'Vstupní hodnoty'!K$6, IF(AND(D36&gt;20, $B$4&lt;3, $B$3&lt;4), 'Vstupní hodnoty'!$K$5, 'Vstupní hodnoty'!$K$4)))</f>
        <v>27000</v>
      </c>
      <c r="I36">
        <f>IF($B$7=1, 'Vstupní hodnoty'!J$4*(2/3)/30*Model!D36, 0)</f>
        <v>0</v>
      </c>
      <c r="J36">
        <f>IF(Model!$B$5&gt;12,'Vstupní hodnoty'!$H$8*Model!D36,IF(Model!$B$5&gt;9,'Vstupní hodnoty'!$H$7*Model!D36,IF(Model!$B$5&gt;6,'Vstupní hodnoty'!$H$6*Model!D36,IF(Model!$B$5&gt;3,'Vstupní hodnoty'!$H$5*Model!D36,IF(Model!$B$5&gt;1,'Vstupní hodnoty'!$H$4*Model!D36,0)))))</f>
        <v>7353</v>
      </c>
      <c r="K36" s="5">
        <f>F36+G36+H36+E36*'Vstupní hodnoty'!L$4+J36*'Vstupní hodnoty'!L$4+I36*'Vstupní hodnoty'!L$4</f>
        <v>107236.52619047619</v>
      </c>
      <c r="L36" s="5">
        <f t="shared" si="1"/>
        <v>2493.8727021040972</v>
      </c>
      <c r="X36" s="14">
        <v>43</v>
      </c>
      <c r="Y36" s="5">
        <f>INDEX('Vstupní hodnoty'!$A$4:$A$15, MATCH(Model!$V$2,'Vstupní hodnoty'!$B$4:$B$15,0))/30*(X36+1*X36/7)</f>
        <v>75565.333333333343</v>
      </c>
      <c r="Z36">
        <f t="shared" si="2"/>
        <v>0</v>
      </c>
      <c r="AA36">
        <f t="shared" si="3"/>
        <v>24000</v>
      </c>
      <c r="AB36">
        <f>IF(X36&lt;14, 0, IF(AND(X36&gt;20,$V$4&lt;3,$V$3&lt;2), 'Vstupní hodnoty'!$I$6, IF(AND(X36&gt;20, $V$4&lt;4, $V$3&lt;4), 'Vstupní hodnoty'!$I$5, 'Vstupní hodnoty'!$I$4)))</f>
        <v>27000</v>
      </c>
      <c r="AC36">
        <f>IF($V$7=1, 'Vstupní hodnoty'!$J$4*(2/3)/30*Model!X36, 0)</f>
        <v>0</v>
      </c>
      <c r="AD36">
        <f>IF(Model!$V$5&gt;12,'Vstupní hodnoty'!$H$8*Model!X36,IF(Model!$V$5&gt;9,'Vstupní hodnoty'!$H$7*Model!X36,IF(Model!$V$5&gt;6,'Vstupní hodnoty'!$H$6*Model!X36,IF(Model!$V$5&gt;3,'Vstupní hodnoty'!$H$5*Model!X36,IF(Model!$V$5&gt;1,'Vstupní hodnoty'!$H$4*Model!X36,0)))))</f>
        <v>11051</v>
      </c>
      <c r="AE36" s="5">
        <f>Z36+AA36+AB36+Y36*'Vstupní hodnoty'!L$4+AD36*'Vstupní hodnoty'!L$4+AC36*'Vstupní hodnoty'!L$4</f>
        <v>124623.88333333335</v>
      </c>
      <c r="AF36" s="5">
        <f t="shared" si="4"/>
        <v>2898.2298449612408</v>
      </c>
      <c r="AK36" s="14">
        <v>43</v>
      </c>
      <c r="AL36" s="5">
        <f>INDEX('Vstupní hodnoty'!$A$4:$A$15, MATCH(Model!$AI$2,'Vstupní hodnoty'!$B$4:$B$15,0))/30*(AK36+1*AK36/7)</f>
        <v>75565.333333333343</v>
      </c>
      <c r="AM36">
        <f t="shared" si="5"/>
        <v>0</v>
      </c>
      <c r="AN36">
        <f t="shared" si="6"/>
        <v>24000</v>
      </c>
      <c r="AO36">
        <f>IF(OR(AK36&lt;14, AI$3=4, AI$4=4),0,IF(AK36&lt;21,'Vstupní hodnoty'!N$4,IF(AK36&lt;28,'Vstupní hodnoty'!N$5,IF(AK36&lt;35,'Vstupní hodnoty'!N$6,'Vstupní hodnoty'!N$6))))+IF(OR(AK36&lt;21, AI$4=4),0,IF(AI$3&lt;2,'Vstupní hodnoty'!O$6*'Vstupní hodnoty'!$A$17*(AK36-20),IF(Model!AI$3&lt;3,'Vstupní hodnoty'!O$5*'Vstupní hodnoty'!$A$17*(AK36-20),IF(Model!AI$3&lt;4,'Vstupní hodnoty'!O$4*'Vstupní hodnoty'!$A$17*(AK36-20),0))))+IF(OR(AK36&lt;21, AI$3=4), 0, IF(AI$4=1, 'Vstupní hodnoty'!P$6, IF(Model!AI$4=2, 'Vstupní hodnoty'!P$5, IF(Model!AI$4=3, 'Vstupní hodnoty'!P$4, 0))))</f>
        <v>48464</v>
      </c>
      <c r="AP36">
        <f>IF($AI$7=1, 'Vstupní hodnoty'!J$4*(2/3)/30*Model!AK36, 0)</f>
        <v>0</v>
      </c>
      <c r="AQ36">
        <f>IF(Model!$AI$5&gt;12,'Vstupní hodnoty'!$H$8*Model!AK36,IF(Model!$AI$5&gt;9,'Vstupní hodnoty'!$H$7*Model!AK36,IF(Model!$AI$5&gt;6,'Vstupní hodnoty'!$H$6*Model!AK36,IF(Model!$AI$5&gt;3,'Vstupní hodnoty'!$H$5*Model!AK36,IF(Model!$AI$5&gt;1,'Vstupní hodnoty'!$H$4*Model!AK36,0)))))</f>
        <v>11051</v>
      </c>
      <c r="AR36" s="5">
        <f>AM36+AN36+AO36+AL36*'Vstupní hodnoty'!L$4+AQ36*'Vstupní hodnoty'!L$4+AP36*'Vstupní hodnoty'!L$4</f>
        <v>146087.88333333333</v>
      </c>
      <c r="AS36" s="5">
        <f t="shared" si="7"/>
        <v>3397.3926356589145</v>
      </c>
      <c r="AX36" s="14">
        <v>43</v>
      </c>
      <c r="AY36" s="5">
        <f>INDEX('Vstupní hodnoty'!$A$4:$A$15, MATCH(Model!$AV$2,'Vstupní hodnoty'!$B$4:$B$15,0))/30*(AX36+1*AX36/7)</f>
        <v>58807.619047619053</v>
      </c>
      <c r="AZ36">
        <f t="shared" si="8"/>
        <v>0</v>
      </c>
      <c r="BA36">
        <f t="shared" si="9"/>
        <v>24000</v>
      </c>
      <c r="BB36" s="5">
        <f>IF(OR(AV$3=4,AV$4=4),0,'Roční bonus alt 2'!D35)+IF(OR(AX36&lt;21,AV$3=4,AV$4=4),0,IF(AV$3&lt;2,'Vstupní hodnoty'!O$6*'Vstupní hodnoty'!$A$17*(Model!AX36-20),IF(Model!AV$3&lt;3,'Vstupní hodnoty'!O$5*'Vstupní hodnoty'!$A$17*(Model!AX36-20),IF(Model!AV$3&lt;4,'Vstupní hodnoty'!O$4*'Vstupní hodnoty'!$A$17*(Model!AX36-20),0))))+IF(OR(AX36&lt;21,AV$3=4,AV$4=4),0,IF(AV$4=1,'Vstupní hodnoty'!P$6,IF(Model!AV$4=2,'Vstupní hodnoty'!P$5,IF(Model!AV$4=3,'Vstupní hodnoty'!P$4,0))))</f>
        <v>56784</v>
      </c>
      <c r="BC36">
        <f>IF($AV$7=1, 'Vstupní hodnoty'!J$4*(2/3)/30*Model!AX36, 0)</f>
        <v>0</v>
      </c>
      <c r="BD36">
        <f>IF(Model!$AV$5&gt;12,'Vstupní hodnoty'!$Q$8*Model!AX36,IF(Model!$AV$5&gt;9,'Vstupní hodnoty'!$Q$7*Model!AX36,IF(Model!$AV$5&gt;6,'Vstupní hodnoty'!$Q$6*Model!AX36,IF(Model!$AV$5&gt;3,'Vstupní hodnoty'!$Q$5*Model!AX36,IF(Model!$AV$5&gt;1,'Vstupní hodnoty'!$Q$4*Model!AX36,0)))))</f>
        <v>13416</v>
      </c>
      <c r="BE36" s="5">
        <f>AZ36+BA36+BB36+AY36*'Vstupní hodnoty'!L$4+BD36*'Vstupní hodnoty'!L$4+BC36*'Vstupní hodnoty'!L$4</f>
        <v>142174.07619047619</v>
      </c>
      <c r="BF36" s="5">
        <f t="shared" si="10"/>
        <v>3306.3738648947951</v>
      </c>
    </row>
    <row r="37" spans="4:58" x14ac:dyDescent="0.2">
      <c r="D37" s="14">
        <v>44</v>
      </c>
      <c r="E37" s="5">
        <f>INDEX('Vstupní hodnoty'!$A$4:$A$15, MATCH(Model!$B$2,'Vstupní hodnoty'!$B$4:$B$15,0))/30*(D37+1*D37/7)</f>
        <v>60175.238095238099</v>
      </c>
      <c r="F37">
        <f t="shared" si="0"/>
        <v>0</v>
      </c>
      <c r="G37">
        <f t="shared" si="11"/>
        <v>24000</v>
      </c>
      <c r="H37">
        <f>IF(D37&lt;14, 0, IF(AND(D37&gt;20,$B$4&lt;3,$B$3&lt;2), 'Vstupní hodnoty'!K$6, IF(AND(D37&gt;20, $B$4&lt;3, $B$3&lt;4), 'Vstupní hodnoty'!$K$5, 'Vstupní hodnoty'!$K$4)))</f>
        <v>27000</v>
      </c>
      <c r="I37">
        <f>IF($B$7=1, 'Vstupní hodnoty'!J$4*(2/3)/30*Model!D37, 0)</f>
        <v>0</v>
      </c>
      <c r="J37">
        <f>IF(Model!$B$5&gt;12,'Vstupní hodnoty'!$H$8*Model!D37,IF(Model!$B$5&gt;9,'Vstupní hodnoty'!$H$7*Model!D37,IF(Model!$B$5&gt;6,'Vstupní hodnoty'!$H$6*Model!D37,IF(Model!$B$5&gt;3,'Vstupní hodnoty'!$H$5*Model!D37,IF(Model!$B$5&gt;1,'Vstupní hodnoty'!$H$4*Model!D37,0)))))</f>
        <v>7524</v>
      </c>
      <c r="K37" s="5">
        <f>F37+G37+H37+E37*'Vstupní hodnoty'!L$4+J37*'Vstupní hodnoty'!L$4+I37*'Vstupní hodnoty'!L$4</f>
        <v>108544.35238095238</v>
      </c>
      <c r="L37" s="5">
        <f t="shared" si="1"/>
        <v>2466.9170995670993</v>
      </c>
      <c r="X37" s="14">
        <v>44</v>
      </c>
      <c r="Y37" s="5">
        <f>INDEX('Vstupní hodnoty'!$A$4:$A$15, MATCH(Model!$V$2,'Vstupní hodnoty'!$B$4:$B$15,0))/30*(X37+1*X37/7)</f>
        <v>77322.666666666672</v>
      </c>
      <c r="Z37">
        <f t="shared" si="2"/>
        <v>0</v>
      </c>
      <c r="AA37">
        <f t="shared" si="3"/>
        <v>24000</v>
      </c>
      <c r="AB37">
        <f>IF(X37&lt;14, 0, IF(AND(X37&gt;20,$V$4&lt;3,$V$3&lt;2), 'Vstupní hodnoty'!$I$6, IF(AND(X37&gt;20, $V$4&lt;4, $V$3&lt;4), 'Vstupní hodnoty'!$I$5, 'Vstupní hodnoty'!$I$4)))</f>
        <v>27000</v>
      </c>
      <c r="AC37">
        <f>IF($V$7=1, 'Vstupní hodnoty'!$J$4*(2/3)/30*Model!X37, 0)</f>
        <v>0</v>
      </c>
      <c r="AD37">
        <f>IF(Model!$V$5&gt;12,'Vstupní hodnoty'!$H$8*Model!X37,IF(Model!$V$5&gt;9,'Vstupní hodnoty'!$H$7*Model!X37,IF(Model!$V$5&gt;6,'Vstupní hodnoty'!$H$6*Model!X37,IF(Model!$V$5&gt;3,'Vstupní hodnoty'!$H$5*Model!X37,IF(Model!$V$5&gt;1,'Vstupní hodnoty'!$H$4*Model!X37,0)))))</f>
        <v>11308</v>
      </c>
      <c r="AE37" s="5">
        <f>Z37+AA37+AB37+Y37*'Vstupní hodnoty'!L$4+AD37*'Vstupní hodnoty'!L$4+AC37*'Vstupní hodnoty'!L$4</f>
        <v>126336.06666666667</v>
      </c>
      <c r="AF37" s="5">
        <f t="shared" si="4"/>
        <v>2871.2742424242424</v>
      </c>
      <c r="AK37" s="14">
        <v>44</v>
      </c>
      <c r="AL37" s="5">
        <f>INDEX('Vstupní hodnoty'!$A$4:$A$15, MATCH(Model!$AI$2,'Vstupní hodnoty'!$B$4:$B$15,0))/30*(AK37+1*AK37/7)</f>
        <v>77322.666666666672</v>
      </c>
      <c r="AM37">
        <f t="shared" si="5"/>
        <v>0</v>
      </c>
      <c r="AN37">
        <f t="shared" si="6"/>
        <v>24000</v>
      </c>
      <c r="AO37">
        <f>IF(OR(AK37&lt;14, AI$3=4, AI$4=4),0,IF(AK37&lt;21,'Vstupní hodnoty'!N$4,IF(AK37&lt;28,'Vstupní hodnoty'!N$5,IF(AK37&lt;35,'Vstupní hodnoty'!N$6,'Vstupní hodnoty'!N$6))))+IF(OR(AK37&lt;21, AI$4=4),0,IF(AI$3&lt;2,'Vstupní hodnoty'!O$6*'Vstupní hodnoty'!$A$17*(AK37-20),IF(Model!AI$3&lt;3,'Vstupní hodnoty'!O$5*'Vstupní hodnoty'!$A$17*(AK37-20),IF(Model!AI$3&lt;4,'Vstupní hodnoty'!O$4*'Vstupní hodnoty'!$A$17*(AK37-20),0))))+IF(OR(AK37&lt;21, AI$3=4), 0, IF(AI$4=1, 'Vstupní hodnoty'!P$6, IF(Model!AI$4=2, 'Vstupní hodnoty'!P$5, IF(Model!AI$4=3, 'Vstupní hodnoty'!P$4, 0))))</f>
        <v>48672</v>
      </c>
      <c r="AP37">
        <f>IF($AI$7=1, 'Vstupní hodnoty'!J$4*(2/3)/30*Model!AK37, 0)</f>
        <v>0</v>
      </c>
      <c r="AQ37">
        <f>IF(Model!$AI$5&gt;12,'Vstupní hodnoty'!$H$8*Model!AK37,IF(Model!$AI$5&gt;9,'Vstupní hodnoty'!$H$7*Model!AK37,IF(Model!$AI$5&gt;6,'Vstupní hodnoty'!$H$6*Model!AK37,IF(Model!$AI$5&gt;3,'Vstupní hodnoty'!$H$5*Model!AK37,IF(Model!$AI$5&gt;1,'Vstupní hodnoty'!$H$4*Model!AK37,0)))))</f>
        <v>11308</v>
      </c>
      <c r="AR37" s="5">
        <f>AM37+AN37+AO37+AL37*'Vstupní hodnoty'!L$4+AQ37*'Vstupní hodnoty'!L$4+AP37*'Vstupní hodnoty'!L$4</f>
        <v>148008.06666666665</v>
      </c>
      <c r="AS37" s="5">
        <f t="shared" si="7"/>
        <v>3363.8196969696965</v>
      </c>
      <c r="AX37" s="14">
        <v>44</v>
      </c>
      <c r="AY37" s="5">
        <f>INDEX('Vstupní hodnoty'!$A$4:$A$15, MATCH(Model!$AV$2,'Vstupní hodnoty'!$B$4:$B$15,0))/30*(AX37+1*AX37/7)</f>
        <v>60175.238095238099</v>
      </c>
      <c r="AZ37">
        <f t="shared" si="8"/>
        <v>0</v>
      </c>
      <c r="BA37">
        <f t="shared" si="9"/>
        <v>24000</v>
      </c>
      <c r="BB37" s="5">
        <f>IF(OR(AV$3=4,AV$4=4),0,'Roční bonus alt 2'!D36)+IF(OR(AX37&lt;21,AV$3=4,AV$4=4),0,IF(AV$3&lt;2,'Vstupní hodnoty'!O$6*'Vstupní hodnoty'!$A$17*(Model!AX37-20),IF(Model!AV$3&lt;3,'Vstupní hodnoty'!O$5*'Vstupní hodnoty'!$A$17*(Model!AX37-20),IF(Model!AV$3&lt;4,'Vstupní hodnoty'!O$4*'Vstupní hodnoty'!$A$17*(Model!AX37-20),0))))+IF(OR(AX37&lt;21,AV$3=4,AV$4=4),0,IF(AV$4=1,'Vstupní hodnoty'!P$6,IF(Model!AV$4=2,'Vstupní hodnoty'!P$5,IF(Model!AV$4=3,'Vstupní hodnoty'!P$4,0))))</f>
        <v>58378.666666666672</v>
      </c>
      <c r="BC37">
        <f>IF($AV$7=1, 'Vstupní hodnoty'!J$4*(2/3)/30*Model!AX37, 0)</f>
        <v>0</v>
      </c>
      <c r="BD37">
        <f>IF(Model!$AV$5&gt;12,'Vstupní hodnoty'!$Q$8*Model!AX37,IF(Model!$AV$5&gt;9,'Vstupní hodnoty'!$Q$7*Model!AX37,IF(Model!$AV$5&gt;6,'Vstupní hodnoty'!$Q$6*Model!AX37,IF(Model!$AV$5&gt;3,'Vstupní hodnoty'!$Q$5*Model!AX37,IF(Model!$AV$5&gt;1,'Vstupní hodnoty'!$Q$4*Model!AX37,0)))))</f>
        <v>13728</v>
      </c>
      <c r="BE37" s="5">
        <f>AZ37+BA37+BB37+AY37*'Vstupní hodnoty'!L$4+BD37*'Vstupní hodnoty'!L$4+BC37*'Vstupní hodnoty'!L$4</f>
        <v>145196.41904761904</v>
      </c>
      <c r="BF37" s="5">
        <f t="shared" si="10"/>
        <v>3299.9186147186147</v>
      </c>
    </row>
    <row r="38" spans="4:58" x14ac:dyDescent="0.2">
      <c r="D38" s="14">
        <v>45</v>
      </c>
      <c r="E38" s="5">
        <f>INDEX('Vstupní hodnoty'!$A$4:$A$15, MATCH(Model!$B$2,'Vstupní hodnoty'!$B$4:$B$15,0))/30*(D38+1*D38/7)</f>
        <v>61542.857142857152</v>
      </c>
      <c r="F38">
        <f t="shared" si="0"/>
        <v>0</v>
      </c>
      <c r="G38">
        <f t="shared" si="11"/>
        <v>24000</v>
      </c>
      <c r="H38">
        <f>IF(D38&lt;14, 0, IF(AND(D38&gt;20,$B$4&lt;3,$B$3&lt;2), 'Vstupní hodnoty'!K$6, IF(AND(D38&gt;20, $B$4&lt;3, $B$3&lt;4), 'Vstupní hodnoty'!$K$5, 'Vstupní hodnoty'!$K$4)))</f>
        <v>27000</v>
      </c>
      <c r="I38">
        <f>IF($B$7=1, 'Vstupní hodnoty'!J$4*(2/3)/30*Model!D38, 0)</f>
        <v>0</v>
      </c>
      <c r="J38">
        <f>IF(Model!$B$5&gt;12,'Vstupní hodnoty'!$H$8*Model!D38,IF(Model!$B$5&gt;9,'Vstupní hodnoty'!$H$7*Model!D38,IF(Model!$B$5&gt;6,'Vstupní hodnoty'!$H$6*Model!D38,IF(Model!$B$5&gt;3,'Vstupní hodnoty'!$H$5*Model!D38,IF(Model!$B$5&gt;1,'Vstupní hodnoty'!$H$4*Model!D38,0)))))</f>
        <v>7695</v>
      </c>
      <c r="K38" s="5">
        <f>F38+G38+H38+E38*'Vstupní hodnoty'!L$4+J38*'Vstupní hodnoty'!L$4+I38*'Vstupní hodnoty'!L$4</f>
        <v>109852.17857142858</v>
      </c>
      <c r="L38" s="5">
        <f t="shared" si="1"/>
        <v>2441.1595238095242</v>
      </c>
      <c r="X38" s="14">
        <v>45</v>
      </c>
      <c r="Y38" s="5">
        <f>INDEX('Vstupní hodnoty'!$A$4:$A$15, MATCH(Model!$V$2,'Vstupní hodnoty'!$B$4:$B$15,0))/30*(X38+1*X38/7)</f>
        <v>79080</v>
      </c>
      <c r="Z38">
        <f t="shared" si="2"/>
        <v>0</v>
      </c>
      <c r="AA38">
        <f t="shared" si="3"/>
        <v>24000</v>
      </c>
      <c r="AB38">
        <f>IF(X38&lt;14, 0, IF(AND(X38&gt;20,$V$4&lt;3,$V$3&lt;2), 'Vstupní hodnoty'!$I$6, IF(AND(X38&gt;20, $V$4&lt;4, $V$3&lt;4), 'Vstupní hodnoty'!$I$5, 'Vstupní hodnoty'!$I$4)))</f>
        <v>27000</v>
      </c>
      <c r="AC38">
        <f>IF($V$7=1, 'Vstupní hodnoty'!$J$4*(2/3)/30*Model!X38, 0)</f>
        <v>0</v>
      </c>
      <c r="AD38">
        <f>IF(Model!$V$5&gt;12,'Vstupní hodnoty'!$H$8*Model!X38,IF(Model!$V$5&gt;9,'Vstupní hodnoty'!$H$7*Model!X38,IF(Model!$V$5&gt;6,'Vstupní hodnoty'!$H$6*Model!X38,IF(Model!$V$5&gt;3,'Vstupní hodnoty'!$H$5*Model!X38,IF(Model!$V$5&gt;1,'Vstupní hodnoty'!$H$4*Model!X38,0)))))</f>
        <v>11565</v>
      </c>
      <c r="AE38" s="5">
        <f>Z38+AA38+AB38+Y38*'Vstupní hodnoty'!L$4+AD38*'Vstupní hodnoty'!L$4+AC38*'Vstupní hodnoty'!L$4</f>
        <v>128048.25</v>
      </c>
      <c r="AF38" s="5">
        <f t="shared" si="4"/>
        <v>2845.5166666666669</v>
      </c>
      <c r="AK38" s="14">
        <v>45</v>
      </c>
      <c r="AL38" s="5">
        <f>INDEX('Vstupní hodnoty'!$A$4:$A$15, MATCH(Model!$AI$2,'Vstupní hodnoty'!$B$4:$B$15,0))/30*(AK38+1*AK38/7)</f>
        <v>79080</v>
      </c>
      <c r="AM38">
        <f t="shared" si="5"/>
        <v>0</v>
      </c>
      <c r="AN38">
        <f t="shared" si="6"/>
        <v>24000</v>
      </c>
      <c r="AO38">
        <f>IF(OR(AK38&lt;14, AI$3=4, AI$4=4),0,IF(AK38&lt;21,'Vstupní hodnoty'!N$4,IF(AK38&lt;28,'Vstupní hodnoty'!N$5,IF(AK38&lt;35,'Vstupní hodnoty'!N$6,'Vstupní hodnoty'!N$6))))+IF(OR(AK38&lt;21, AI$4=4),0,IF(AI$3&lt;2,'Vstupní hodnoty'!O$6*'Vstupní hodnoty'!$A$17*(AK38-20),IF(Model!AI$3&lt;3,'Vstupní hodnoty'!O$5*'Vstupní hodnoty'!$A$17*(AK38-20),IF(Model!AI$3&lt;4,'Vstupní hodnoty'!O$4*'Vstupní hodnoty'!$A$17*(AK38-20),0))))+IF(OR(AK38&lt;21, AI$3=4), 0, IF(AI$4=1, 'Vstupní hodnoty'!P$6, IF(Model!AI$4=2, 'Vstupní hodnoty'!P$5, IF(Model!AI$4=3, 'Vstupní hodnoty'!P$4, 0))))</f>
        <v>48880</v>
      </c>
      <c r="AP38">
        <f>IF($AI$7=1, 'Vstupní hodnoty'!J$4*(2/3)/30*Model!AK38, 0)</f>
        <v>0</v>
      </c>
      <c r="AQ38">
        <f>IF(Model!$AI$5&gt;12,'Vstupní hodnoty'!$H$8*Model!AK38,IF(Model!$AI$5&gt;9,'Vstupní hodnoty'!$H$7*Model!AK38,IF(Model!$AI$5&gt;6,'Vstupní hodnoty'!$H$6*Model!AK38,IF(Model!$AI$5&gt;3,'Vstupní hodnoty'!$H$5*Model!AK38,IF(Model!$AI$5&gt;1,'Vstupní hodnoty'!$H$4*Model!AK38,0)))))</f>
        <v>11565</v>
      </c>
      <c r="AR38" s="5">
        <f>AM38+AN38+AO38+AL38*'Vstupní hodnoty'!L$4+AQ38*'Vstupní hodnoty'!L$4+AP38*'Vstupní hodnoty'!L$4</f>
        <v>149928.25</v>
      </c>
      <c r="AS38" s="5">
        <f t="shared" si="7"/>
        <v>3331.7388888888891</v>
      </c>
      <c r="AX38" s="14">
        <v>45</v>
      </c>
      <c r="AY38" s="5">
        <f>INDEX('Vstupní hodnoty'!$A$4:$A$15, MATCH(Model!$AV$2,'Vstupní hodnoty'!$B$4:$B$15,0))/30*(AX38+1*AX38/7)</f>
        <v>61542.857142857152</v>
      </c>
      <c r="AZ38">
        <f t="shared" si="8"/>
        <v>0</v>
      </c>
      <c r="BA38">
        <f t="shared" si="9"/>
        <v>24000</v>
      </c>
      <c r="BB38" s="5">
        <f>IF(OR(AV$3=4,AV$4=4),0,'Roční bonus alt 2'!D37)+IF(OR(AX38&lt;21,AV$3=4,AV$4=4),0,IF(AV$3&lt;2,'Vstupní hodnoty'!O$6*'Vstupní hodnoty'!$A$17*(Model!AX38-20),IF(Model!AV$3&lt;3,'Vstupní hodnoty'!O$5*'Vstupní hodnoty'!$A$17*(Model!AX38-20),IF(Model!AV$3&lt;4,'Vstupní hodnoty'!O$4*'Vstupní hodnoty'!$A$17*(Model!AX38-20),0))))+IF(OR(AX38&lt;21,AV$3=4,AV$4=4),0,IF(AV$4=1,'Vstupní hodnoty'!P$6,IF(Model!AV$4=2,'Vstupní hodnoty'!P$5,IF(Model!AV$4=3,'Vstupní hodnoty'!P$4,0))))</f>
        <v>59973.333333333336</v>
      </c>
      <c r="BC38">
        <f>IF($AV$7=1, 'Vstupní hodnoty'!J$4*(2/3)/30*Model!AX38, 0)</f>
        <v>0</v>
      </c>
      <c r="BD38">
        <f>IF(Model!$AV$5&gt;12,'Vstupní hodnoty'!$Q$8*Model!AX38,IF(Model!$AV$5&gt;9,'Vstupní hodnoty'!$Q$7*Model!AX38,IF(Model!$AV$5&gt;6,'Vstupní hodnoty'!$Q$6*Model!AX38,IF(Model!$AV$5&gt;3,'Vstupní hodnoty'!$Q$5*Model!AX38,IF(Model!$AV$5&gt;1,'Vstupní hodnoty'!$Q$4*Model!AX38,0)))))</f>
        <v>14040</v>
      </c>
      <c r="BE38" s="5">
        <f>AZ38+BA38+BB38+AY38*'Vstupní hodnoty'!L$4+BD38*'Vstupní hodnoty'!L$4+BC38*'Vstupní hodnoty'!L$4</f>
        <v>148218.76190476192</v>
      </c>
      <c r="BF38" s="5">
        <f t="shared" si="10"/>
        <v>3293.750264550265</v>
      </c>
    </row>
    <row r="39" spans="4:58" x14ac:dyDescent="0.2">
      <c r="D39" s="14">
        <v>46</v>
      </c>
      <c r="E39" s="5">
        <f>INDEX('Vstupní hodnoty'!$A$4:$A$15, MATCH(Model!$B$2,'Vstupní hodnoty'!$B$4:$B$15,0))/30*(D39+1*D39/7)</f>
        <v>62910.476190476191</v>
      </c>
      <c r="F39">
        <f t="shared" si="0"/>
        <v>0</v>
      </c>
      <c r="G39">
        <f t="shared" si="11"/>
        <v>24000</v>
      </c>
      <c r="H39">
        <f>IF(D39&lt;14, 0, IF(AND(D39&gt;20,$B$4&lt;3,$B$3&lt;2), 'Vstupní hodnoty'!K$6, IF(AND(D39&gt;20, $B$4&lt;3, $B$3&lt;4), 'Vstupní hodnoty'!$K$5, 'Vstupní hodnoty'!$K$4)))</f>
        <v>27000</v>
      </c>
      <c r="I39">
        <f>IF($B$7=1, 'Vstupní hodnoty'!J$4*(2/3)/30*Model!D39, 0)</f>
        <v>0</v>
      </c>
      <c r="J39">
        <f>IF(Model!$B$5&gt;12,'Vstupní hodnoty'!$H$8*Model!D39,IF(Model!$B$5&gt;9,'Vstupní hodnoty'!$H$7*Model!D39,IF(Model!$B$5&gt;6,'Vstupní hodnoty'!$H$6*Model!D39,IF(Model!$B$5&gt;3,'Vstupní hodnoty'!$H$5*Model!D39,IF(Model!$B$5&gt;1,'Vstupní hodnoty'!$H$4*Model!D39,0)))))</f>
        <v>7866</v>
      </c>
      <c r="K39" s="5">
        <f>F39+G39+H39+E39*'Vstupní hodnoty'!L$4+J39*'Vstupní hodnoty'!L$4+I39*'Vstupní hodnoty'!L$4</f>
        <v>111160.00476190477</v>
      </c>
      <c r="L39" s="5">
        <f t="shared" si="1"/>
        <v>2416.5218426501037</v>
      </c>
      <c r="X39" s="14">
        <v>46</v>
      </c>
      <c r="Y39" s="5">
        <f>INDEX('Vstupní hodnoty'!$A$4:$A$15, MATCH(Model!$V$2,'Vstupní hodnoty'!$B$4:$B$15,0))/30*(X39+1*X39/7)</f>
        <v>80837.333333333328</v>
      </c>
      <c r="Z39">
        <f t="shared" si="2"/>
        <v>0</v>
      </c>
      <c r="AA39">
        <f t="shared" si="3"/>
        <v>24000</v>
      </c>
      <c r="AB39">
        <f>IF(X39&lt;14, 0, IF(AND(X39&gt;20,$V$4&lt;3,$V$3&lt;2), 'Vstupní hodnoty'!$I$6, IF(AND(X39&gt;20, $V$4&lt;4, $V$3&lt;4), 'Vstupní hodnoty'!$I$5, 'Vstupní hodnoty'!$I$4)))</f>
        <v>27000</v>
      </c>
      <c r="AC39">
        <f>IF($V$7=1, 'Vstupní hodnoty'!$J$4*(2/3)/30*Model!X39, 0)</f>
        <v>0</v>
      </c>
      <c r="AD39">
        <f>IF(Model!$V$5&gt;12,'Vstupní hodnoty'!$H$8*Model!X39,IF(Model!$V$5&gt;9,'Vstupní hodnoty'!$H$7*Model!X39,IF(Model!$V$5&gt;6,'Vstupní hodnoty'!$H$6*Model!X39,IF(Model!$V$5&gt;3,'Vstupní hodnoty'!$H$5*Model!X39,IF(Model!$V$5&gt;1,'Vstupní hodnoty'!$H$4*Model!X39,0)))))</f>
        <v>11822</v>
      </c>
      <c r="AE39" s="5">
        <f>Z39+AA39+AB39+Y39*'Vstupní hodnoty'!L$4+AD39*'Vstupní hodnoty'!L$4+AC39*'Vstupní hodnoty'!L$4</f>
        <v>129760.43333333332</v>
      </c>
      <c r="AF39" s="5">
        <f t="shared" si="4"/>
        <v>2820.8789855072459</v>
      </c>
      <c r="AK39" s="14">
        <v>46</v>
      </c>
      <c r="AL39" s="5">
        <f>INDEX('Vstupní hodnoty'!$A$4:$A$15, MATCH(Model!$AI$2,'Vstupní hodnoty'!$B$4:$B$15,0))/30*(AK39+1*AK39/7)</f>
        <v>80837.333333333328</v>
      </c>
      <c r="AM39">
        <f t="shared" si="5"/>
        <v>0</v>
      </c>
      <c r="AN39">
        <f t="shared" si="6"/>
        <v>24000</v>
      </c>
      <c r="AO39">
        <f>IF(OR(AK39&lt;14, AI$3=4, AI$4=4),0,IF(AK39&lt;21,'Vstupní hodnoty'!N$4,IF(AK39&lt;28,'Vstupní hodnoty'!N$5,IF(AK39&lt;35,'Vstupní hodnoty'!N$6,'Vstupní hodnoty'!N$6))))+IF(OR(AK39&lt;21, AI$4=4),0,IF(AI$3&lt;2,'Vstupní hodnoty'!O$6*'Vstupní hodnoty'!$A$17*(AK39-20),IF(Model!AI$3&lt;3,'Vstupní hodnoty'!O$5*'Vstupní hodnoty'!$A$17*(AK39-20),IF(Model!AI$3&lt;4,'Vstupní hodnoty'!O$4*'Vstupní hodnoty'!$A$17*(AK39-20),0))))+IF(OR(AK39&lt;21, AI$3=4), 0, IF(AI$4=1, 'Vstupní hodnoty'!P$6, IF(Model!AI$4=2, 'Vstupní hodnoty'!P$5, IF(Model!AI$4=3, 'Vstupní hodnoty'!P$4, 0))))</f>
        <v>49088</v>
      </c>
      <c r="AP39">
        <f>IF($AI$7=1, 'Vstupní hodnoty'!J$4*(2/3)/30*Model!AK39, 0)</f>
        <v>0</v>
      </c>
      <c r="AQ39">
        <f>IF(Model!$AI$5&gt;12,'Vstupní hodnoty'!$H$8*Model!AK39,IF(Model!$AI$5&gt;9,'Vstupní hodnoty'!$H$7*Model!AK39,IF(Model!$AI$5&gt;6,'Vstupní hodnoty'!$H$6*Model!AK39,IF(Model!$AI$5&gt;3,'Vstupní hodnoty'!$H$5*Model!AK39,IF(Model!$AI$5&gt;1,'Vstupní hodnoty'!$H$4*Model!AK39,0)))))</f>
        <v>11822</v>
      </c>
      <c r="AR39" s="5">
        <f>AM39+AN39+AO39+AL39*'Vstupní hodnoty'!L$4+AQ39*'Vstupní hodnoty'!L$4+AP39*'Vstupní hodnoty'!L$4</f>
        <v>151848.43333333335</v>
      </c>
      <c r="AS39" s="5">
        <f t="shared" si="7"/>
        <v>3301.0528985507249</v>
      </c>
      <c r="AX39" s="14">
        <v>46</v>
      </c>
      <c r="AY39" s="5">
        <f>INDEX('Vstupní hodnoty'!$A$4:$A$15, MATCH(Model!$AV$2,'Vstupní hodnoty'!$B$4:$B$15,0))/30*(AX39+1*AX39/7)</f>
        <v>62910.476190476191</v>
      </c>
      <c r="AZ39">
        <f t="shared" si="8"/>
        <v>0</v>
      </c>
      <c r="BA39">
        <f t="shared" si="9"/>
        <v>24000</v>
      </c>
      <c r="BB39" s="5">
        <f>IF(OR(AV$3=4,AV$4=4),0,'Roční bonus alt 2'!D38)+IF(OR(AX39&lt;21,AV$3=4,AV$4=4),0,IF(AV$3&lt;2,'Vstupní hodnoty'!O$6*'Vstupní hodnoty'!$A$17*(Model!AX39-20),IF(Model!AV$3&lt;3,'Vstupní hodnoty'!O$5*'Vstupní hodnoty'!$A$17*(Model!AX39-20),IF(Model!AV$3&lt;4,'Vstupní hodnoty'!O$4*'Vstupní hodnoty'!$A$17*(Model!AX39-20),0))))+IF(OR(AX39&lt;21,AV$3=4,AV$4=4),0,IF(AV$4=1,'Vstupní hodnoty'!P$6,IF(Model!AV$4=2,'Vstupní hodnoty'!P$5,IF(Model!AV$4=3,'Vstupní hodnoty'!P$4,0))))</f>
        <v>61568</v>
      </c>
      <c r="BC39">
        <f>IF($AV$7=1, 'Vstupní hodnoty'!J$4*(2/3)/30*Model!AX39, 0)</f>
        <v>0</v>
      </c>
      <c r="BD39">
        <f>IF(Model!$AV$5&gt;12,'Vstupní hodnoty'!$Q$8*Model!AX39,IF(Model!$AV$5&gt;9,'Vstupní hodnoty'!$Q$7*Model!AX39,IF(Model!$AV$5&gt;6,'Vstupní hodnoty'!$Q$6*Model!AX39,IF(Model!$AV$5&gt;3,'Vstupní hodnoty'!$Q$5*Model!AX39,IF(Model!$AV$5&gt;1,'Vstupní hodnoty'!$Q$4*Model!AX39,0)))))</f>
        <v>14352</v>
      </c>
      <c r="BE39" s="5">
        <f>AZ39+BA39+BB39+AY39*'Vstupní hodnoty'!L$4+BD39*'Vstupní hodnoty'!L$4+BC39*'Vstupní hodnoty'!L$4</f>
        <v>151241.10476190477</v>
      </c>
      <c r="BF39" s="5">
        <f t="shared" si="10"/>
        <v>3287.8501035196691</v>
      </c>
    </row>
    <row r="40" spans="4:58" x14ac:dyDescent="0.2">
      <c r="D40" s="14">
        <v>47</v>
      </c>
      <c r="E40" s="5">
        <f>INDEX('Vstupní hodnoty'!$A$4:$A$15, MATCH(Model!$B$2,'Vstupní hodnoty'!$B$4:$B$15,0))/30*(D40+1*D40/7)</f>
        <v>64278.095238095244</v>
      </c>
      <c r="F40">
        <f t="shared" si="0"/>
        <v>0</v>
      </c>
      <c r="G40">
        <f t="shared" si="11"/>
        <v>24000</v>
      </c>
      <c r="H40">
        <f>IF(D40&lt;14, 0, IF(AND(D40&gt;20,$B$4&lt;3,$B$3&lt;2), 'Vstupní hodnoty'!K$6, IF(AND(D40&gt;20, $B$4&lt;3, $B$3&lt;4), 'Vstupní hodnoty'!$K$5, 'Vstupní hodnoty'!$K$4)))</f>
        <v>27000</v>
      </c>
      <c r="I40">
        <f>IF($B$7=1, 'Vstupní hodnoty'!J$4*(2/3)/30*Model!D40, 0)</f>
        <v>0</v>
      </c>
      <c r="J40">
        <f>IF(Model!$B$5&gt;12,'Vstupní hodnoty'!$H$8*Model!D40,IF(Model!$B$5&gt;9,'Vstupní hodnoty'!$H$7*Model!D40,IF(Model!$B$5&gt;6,'Vstupní hodnoty'!$H$6*Model!D40,IF(Model!$B$5&gt;3,'Vstupní hodnoty'!$H$5*Model!D40,IF(Model!$B$5&gt;1,'Vstupní hodnoty'!$H$4*Model!D40,0)))))</f>
        <v>8037</v>
      </c>
      <c r="K40" s="5">
        <f>F40+G40+H40+E40*'Vstupní hodnoty'!L$4+J40*'Vstupní hodnoty'!L$4+I40*'Vstupní hodnoty'!L$4</f>
        <v>112467.83095238094</v>
      </c>
      <c r="L40" s="5">
        <f t="shared" si="1"/>
        <v>2392.9325734549138</v>
      </c>
      <c r="X40" s="14">
        <v>47</v>
      </c>
      <c r="Y40" s="5">
        <f>INDEX('Vstupní hodnoty'!$A$4:$A$15, MATCH(Model!$V$2,'Vstupní hodnoty'!$B$4:$B$15,0))/30*(X40+1*X40/7)</f>
        <v>82594.666666666672</v>
      </c>
      <c r="Z40">
        <f t="shared" si="2"/>
        <v>0</v>
      </c>
      <c r="AA40">
        <f t="shared" si="3"/>
        <v>24000</v>
      </c>
      <c r="AB40">
        <f>IF(X40&lt;14, 0, IF(AND(X40&gt;20,$V$4&lt;3,$V$3&lt;2), 'Vstupní hodnoty'!$I$6, IF(AND(X40&gt;20, $V$4&lt;4, $V$3&lt;4), 'Vstupní hodnoty'!$I$5, 'Vstupní hodnoty'!$I$4)))</f>
        <v>27000</v>
      </c>
      <c r="AC40">
        <f>IF($V$7=1, 'Vstupní hodnoty'!$J$4*(2/3)/30*Model!X40, 0)</f>
        <v>0</v>
      </c>
      <c r="AD40">
        <f>IF(Model!$V$5&gt;12,'Vstupní hodnoty'!$H$8*Model!X40,IF(Model!$V$5&gt;9,'Vstupní hodnoty'!$H$7*Model!X40,IF(Model!$V$5&gt;6,'Vstupní hodnoty'!$H$6*Model!X40,IF(Model!$V$5&gt;3,'Vstupní hodnoty'!$H$5*Model!X40,IF(Model!$V$5&gt;1,'Vstupní hodnoty'!$H$4*Model!X40,0)))))</f>
        <v>12079</v>
      </c>
      <c r="AE40" s="5">
        <f>Z40+AA40+AB40+Y40*'Vstupní hodnoty'!L$4+AD40*'Vstupní hodnoty'!L$4+AC40*'Vstupní hodnoty'!L$4</f>
        <v>131472.61666666667</v>
      </c>
      <c r="AF40" s="5">
        <f t="shared" si="4"/>
        <v>2797.289716312057</v>
      </c>
      <c r="AK40" s="14">
        <v>47</v>
      </c>
      <c r="AL40" s="5">
        <f>INDEX('Vstupní hodnoty'!$A$4:$A$15, MATCH(Model!$AI$2,'Vstupní hodnoty'!$B$4:$B$15,0))/30*(AK40+1*AK40/7)</f>
        <v>82594.666666666672</v>
      </c>
      <c r="AM40">
        <f t="shared" si="5"/>
        <v>0</v>
      </c>
      <c r="AN40">
        <f t="shared" si="6"/>
        <v>24000</v>
      </c>
      <c r="AO40">
        <f>IF(OR(AK40&lt;14, AI$3=4, AI$4=4),0,IF(AK40&lt;21,'Vstupní hodnoty'!N$4,IF(AK40&lt;28,'Vstupní hodnoty'!N$5,IF(AK40&lt;35,'Vstupní hodnoty'!N$6,'Vstupní hodnoty'!N$6))))+IF(OR(AK40&lt;21, AI$4=4),0,IF(AI$3&lt;2,'Vstupní hodnoty'!O$6*'Vstupní hodnoty'!$A$17*(AK40-20),IF(Model!AI$3&lt;3,'Vstupní hodnoty'!O$5*'Vstupní hodnoty'!$A$17*(AK40-20),IF(Model!AI$3&lt;4,'Vstupní hodnoty'!O$4*'Vstupní hodnoty'!$A$17*(AK40-20),0))))+IF(OR(AK40&lt;21, AI$3=4), 0, IF(AI$4=1, 'Vstupní hodnoty'!P$6, IF(Model!AI$4=2, 'Vstupní hodnoty'!P$5, IF(Model!AI$4=3, 'Vstupní hodnoty'!P$4, 0))))</f>
        <v>49296</v>
      </c>
      <c r="AP40">
        <f>IF($AI$7=1, 'Vstupní hodnoty'!J$4*(2/3)/30*Model!AK40, 0)</f>
        <v>0</v>
      </c>
      <c r="AQ40">
        <f>IF(Model!$AI$5&gt;12,'Vstupní hodnoty'!$H$8*Model!AK40,IF(Model!$AI$5&gt;9,'Vstupní hodnoty'!$H$7*Model!AK40,IF(Model!$AI$5&gt;6,'Vstupní hodnoty'!$H$6*Model!AK40,IF(Model!$AI$5&gt;3,'Vstupní hodnoty'!$H$5*Model!AK40,IF(Model!$AI$5&gt;1,'Vstupní hodnoty'!$H$4*Model!AK40,0)))))</f>
        <v>12079</v>
      </c>
      <c r="AR40" s="5">
        <f>AM40+AN40+AO40+AL40*'Vstupní hodnoty'!L$4+AQ40*'Vstupní hodnoty'!L$4+AP40*'Vstupní hodnoty'!L$4</f>
        <v>153768.61666666667</v>
      </c>
      <c r="AS40" s="5">
        <f t="shared" si="7"/>
        <v>3271.6726950354609</v>
      </c>
      <c r="AX40" s="14">
        <v>47</v>
      </c>
      <c r="AY40" s="5">
        <f>INDEX('Vstupní hodnoty'!$A$4:$A$15, MATCH(Model!$AV$2,'Vstupní hodnoty'!$B$4:$B$15,0))/30*(AX40+1*AX40/7)</f>
        <v>64278.095238095244</v>
      </c>
      <c r="AZ40">
        <f t="shared" si="8"/>
        <v>0</v>
      </c>
      <c r="BA40">
        <f t="shared" si="9"/>
        <v>24000</v>
      </c>
      <c r="BB40" s="5">
        <f>IF(OR(AV$3=4,AV$4=4),0,'Roční bonus alt 2'!D39)+IF(OR(AX40&lt;21,AV$3=4,AV$4=4),0,IF(AV$3&lt;2,'Vstupní hodnoty'!O$6*'Vstupní hodnoty'!$A$17*(Model!AX40-20),IF(Model!AV$3&lt;3,'Vstupní hodnoty'!O$5*'Vstupní hodnoty'!$A$17*(Model!AX40-20),IF(Model!AV$3&lt;4,'Vstupní hodnoty'!O$4*'Vstupní hodnoty'!$A$17*(Model!AX40-20),0))))+IF(OR(AX40&lt;21,AV$3=4,AV$4=4),0,IF(AV$4=1,'Vstupní hodnoty'!P$6,IF(Model!AV$4=2,'Vstupní hodnoty'!P$5,IF(Model!AV$4=3,'Vstupní hodnoty'!P$4,0))))</f>
        <v>63162.666666666664</v>
      </c>
      <c r="BC40">
        <f>IF($AV$7=1, 'Vstupní hodnoty'!J$4*(2/3)/30*Model!AX40, 0)</f>
        <v>0</v>
      </c>
      <c r="BD40">
        <f>IF(Model!$AV$5&gt;12,'Vstupní hodnoty'!$Q$8*Model!AX40,IF(Model!$AV$5&gt;9,'Vstupní hodnoty'!$Q$7*Model!AX40,IF(Model!$AV$5&gt;6,'Vstupní hodnoty'!$Q$6*Model!AX40,IF(Model!$AV$5&gt;3,'Vstupní hodnoty'!$Q$5*Model!AX40,IF(Model!$AV$5&gt;1,'Vstupní hodnoty'!$Q$4*Model!AX40,0)))))</f>
        <v>14664</v>
      </c>
      <c r="BE40" s="5">
        <f>AZ40+BA40+BB40+AY40*'Vstupní hodnoty'!L$4+BD40*'Vstupní hodnoty'!L$4+BC40*'Vstupní hodnoty'!L$4</f>
        <v>154263.4476190476</v>
      </c>
      <c r="BF40" s="5">
        <f t="shared" si="10"/>
        <v>3282.2010131712254</v>
      </c>
    </row>
    <row r="41" spans="4:58" x14ac:dyDescent="0.2">
      <c r="D41" s="14">
        <v>48</v>
      </c>
      <c r="E41" s="5">
        <f>INDEX('Vstupní hodnoty'!$A$4:$A$15, MATCH(Model!$B$2,'Vstupní hodnoty'!$B$4:$B$15,0))/30*(D41+1*D41/7)</f>
        <v>65645.71428571429</v>
      </c>
      <c r="F41">
        <f t="shared" si="0"/>
        <v>0</v>
      </c>
      <c r="G41">
        <f t="shared" si="11"/>
        <v>24000</v>
      </c>
      <c r="H41">
        <f>IF(D41&lt;14, 0, IF(AND(D41&gt;20,$B$4&lt;3,$B$3&lt;2), 'Vstupní hodnoty'!K$6, IF(AND(D41&gt;20, $B$4&lt;3, $B$3&lt;4), 'Vstupní hodnoty'!$K$5, 'Vstupní hodnoty'!$K$4)))</f>
        <v>27000</v>
      </c>
      <c r="I41">
        <f>IF($B$7=1, 'Vstupní hodnoty'!J$4*(2/3)/30*Model!D41, 0)</f>
        <v>0</v>
      </c>
      <c r="J41">
        <f>IF(Model!$B$5&gt;12,'Vstupní hodnoty'!$H$8*Model!D41,IF(Model!$B$5&gt;9,'Vstupní hodnoty'!$H$7*Model!D41,IF(Model!$B$5&gt;6,'Vstupní hodnoty'!$H$6*Model!D41,IF(Model!$B$5&gt;3,'Vstupní hodnoty'!$H$5*Model!D41,IF(Model!$B$5&gt;1,'Vstupní hodnoty'!$H$4*Model!D41,0)))))</f>
        <v>8208</v>
      </c>
      <c r="K41" s="5">
        <f>F41+G41+H41+E41*'Vstupní hodnoty'!L$4+J41*'Vstupní hodnoty'!L$4+I41*'Vstupní hodnoty'!L$4</f>
        <v>113775.65714285715</v>
      </c>
      <c r="L41" s="5">
        <f t="shared" si="1"/>
        <v>2370.3261904761907</v>
      </c>
      <c r="X41" s="14">
        <v>48</v>
      </c>
      <c r="Y41" s="5">
        <f>INDEX('Vstupní hodnoty'!$A$4:$A$15, MATCH(Model!$V$2,'Vstupní hodnoty'!$B$4:$B$15,0))/30*(X41+1*X41/7)</f>
        <v>84352</v>
      </c>
      <c r="Z41">
        <f t="shared" si="2"/>
        <v>0</v>
      </c>
      <c r="AA41">
        <f t="shared" si="3"/>
        <v>24000</v>
      </c>
      <c r="AB41">
        <f>IF(X41&lt;14, 0, IF(AND(X41&gt;20,$V$4&lt;3,$V$3&lt;2), 'Vstupní hodnoty'!$I$6, IF(AND(X41&gt;20, $V$4&lt;4, $V$3&lt;4), 'Vstupní hodnoty'!$I$5, 'Vstupní hodnoty'!$I$4)))</f>
        <v>27000</v>
      </c>
      <c r="AC41">
        <f>IF($V$7=1, 'Vstupní hodnoty'!$J$4*(2/3)/30*Model!X41, 0)</f>
        <v>0</v>
      </c>
      <c r="AD41">
        <f>IF(Model!$V$5&gt;12,'Vstupní hodnoty'!$H$8*Model!X41,IF(Model!$V$5&gt;9,'Vstupní hodnoty'!$H$7*Model!X41,IF(Model!$V$5&gt;6,'Vstupní hodnoty'!$H$6*Model!X41,IF(Model!$V$5&gt;3,'Vstupní hodnoty'!$H$5*Model!X41,IF(Model!$V$5&gt;1,'Vstupní hodnoty'!$H$4*Model!X41,0)))))</f>
        <v>12336</v>
      </c>
      <c r="AE41" s="5">
        <f>Z41+AA41+AB41+Y41*'Vstupní hodnoty'!L$4+AD41*'Vstupní hodnoty'!L$4+AC41*'Vstupní hodnoty'!L$4</f>
        <v>133184.79999999999</v>
      </c>
      <c r="AF41" s="5">
        <f t="shared" si="4"/>
        <v>2774.6833333333329</v>
      </c>
      <c r="AK41" s="14">
        <v>48</v>
      </c>
      <c r="AL41" s="5">
        <f>INDEX('Vstupní hodnoty'!$A$4:$A$15, MATCH(Model!$AI$2,'Vstupní hodnoty'!$B$4:$B$15,0))/30*(AK41+1*AK41/7)</f>
        <v>84352</v>
      </c>
      <c r="AM41">
        <f t="shared" si="5"/>
        <v>0</v>
      </c>
      <c r="AN41">
        <f t="shared" si="6"/>
        <v>24000</v>
      </c>
      <c r="AO41">
        <f>IF(OR(AK41&lt;14, AI$3=4, AI$4=4),0,IF(AK41&lt;21,'Vstupní hodnoty'!N$4,IF(AK41&lt;28,'Vstupní hodnoty'!N$5,IF(AK41&lt;35,'Vstupní hodnoty'!N$6,'Vstupní hodnoty'!N$6))))+IF(OR(AK41&lt;21, AI$4=4),0,IF(AI$3&lt;2,'Vstupní hodnoty'!O$6*'Vstupní hodnoty'!$A$17*(AK41-20),IF(Model!AI$3&lt;3,'Vstupní hodnoty'!O$5*'Vstupní hodnoty'!$A$17*(AK41-20),IF(Model!AI$3&lt;4,'Vstupní hodnoty'!O$4*'Vstupní hodnoty'!$A$17*(AK41-20),0))))+IF(OR(AK41&lt;21, AI$3=4), 0, IF(AI$4=1, 'Vstupní hodnoty'!P$6, IF(Model!AI$4=2, 'Vstupní hodnoty'!P$5, IF(Model!AI$4=3, 'Vstupní hodnoty'!P$4, 0))))</f>
        <v>49504</v>
      </c>
      <c r="AP41">
        <f>IF($AI$7=1, 'Vstupní hodnoty'!J$4*(2/3)/30*Model!AK41, 0)</f>
        <v>0</v>
      </c>
      <c r="AQ41">
        <f>IF(Model!$AI$5&gt;12,'Vstupní hodnoty'!$H$8*Model!AK41,IF(Model!$AI$5&gt;9,'Vstupní hodnoty'!$H$7*Model!AK41,IF(Model!$AI$5&gt;6,'Vstupní hodnoty'!$H$6*Model!AK41,IF(Model!$AI$5&gt;3,'Vstupní hodnoty'!$H$5*Model!AK41,IF(Model!$AI$5&gt;1,'Vstupní hodnoty'!$H$4*Model!AK41,0)))))</f>
        <v>12336</v>
      </c>
      <c r="AR41" s="5">
        <f>AM41+AN41+AO41+AL41*'Vstupní hodnoty'!L$4+AQ41*'Vstupní hodnoty'!L$4+AP41*'Vstupní hodnoty'!L$4</f>
        <v>155688.80000000002</v>
      </c>
      <c r="AS41" s="5">
        <f t="shared" si="7"/>
        <v>3243.5166666666669</v>
      </c>
      <c r="AX41" s="14">
        <v>48</v>
      </c>
      <c r="AY41" s="5">
        <f>INDEX('Vstupní hodnoty'!$A$4:$A$15, MATCH(Model!$AV$2,'Vstupní hodnoty'!$B$4:$B$15,0))/30*(AX41+1*AX41/7)</f>
        <v>65645.71428571429</v>
      </c>
      <c r="AZ41">
        <f t="shared" si="8"/>
        <v>0</v>
      </c>
      <c r="BA41">
        <f t="shared" si="9"/>
        <v>24000</v>
      </c>
      <c r="BB41" s="5">
        <f>IF(OR(AV$3=4,AV$4=4),0,'Roční bonus alt 2'!D40)+IF(OR(AX41&lt;21,AV$3=4,AV$4=4),0,IF(AV$3&lt;2,'Vstupní hodnoty'!O$6*'Vstupní hodnoty'!$A$17*(Model!AX41-20),IF(Model!AV$3&lt;3,'Vstupní hodnoty'!O$5*'Vstupní hodnoty'!$A$17*(Model!AX41-20),IF(Model!AV$3&lt;4,'Vstupní hodnoty'!O$4*'Vstupní hodnoty'!$A$17*(Model!AX41-20),0))))+IF(OR(AX41&lt;21,AV$3=4,AV$4=4),0,IF(AV$4=1,'Vstupní hodnoty'!P$6,IF(Model!AV$4=2,'Vstupní hodnoty'!P$5,IF(Model!AV$4=3,'Vstupní hodnoty'!P$4,0))))</f>
        <v>64757.333333333336</v>
      </c>
      <c r="BC41">
        <f>IF($AV$7=1, 'Vstupní hodnoty'!J$4*(2/3)/30*Model!AX41, 0)</f>
        <v>0</v>
      </c>
      <c r="BD41">
        <f>IF(Model!$AV$5&gt;12,'Vstupní hodnoty'!$Q$8*Model!AX41,IF(Model!$AV$5&gt;9,'Vstupní hodnoty'!$Q$7*Model!AX41,IF(Model!$AV$5&gt;6,'Vstupní hodnoty'!$Q$6*Model!AX41,IF(Model!$AV$5&gt;3,'Vstupní hodnoty'!$Q$5*Model!AX41,IF(Model!$AV$5&gt;1,'Vstupní hodnoty'!$Q$4*Model!AX41,0)))))</f>
        <v>14976</v>
      </c>
      <c r="BE41" s="5">
        <f>AZ41+BA41+BB41+AY41*'Vstupní hodnoty'!L$4+BD41*'Vstupní hodnoty'!L$4+BC41*'Vstupní hodnoty'!L$4</f>
        <v>157285.79047619048</v>
      </c>
      <c r="BF41" s="5">
        <f t="shared" si="10"/>
        <v>3276.7873015873015</v>
      </c>
    </row>
    <row r="42" spans="4:58" x14ac:dyDescent="0.2">
      <c r="D42" s="14">
        <v>49</v>
      </c>
      <c r="E42" s="5">
        <f>INDEX('Vstupní hodnoty'!$A$4:$A$15, MATCH(Model!$B$2,'Vstupní hodnoty'!$B$4:$B$15,0))/30*(D42+1*D42/7)</f>
        <v>67013.333333333343</v>
      </c>
      <c r="F42">
        <f t="shared" si="0"/>
        <v>0</v>
      </c>
      <c r="G42">
        <f t="shared" si="11"/>
        <v>24000</v>
      </c>
      <c r="H42">
        <f>IF(D42&lt;14, 0, IF(AND(D42&gt;20,$B$4&lt;3,$B$3&lt;2), 'Vstupní hodnoty'!K$6, IF(AND(D42&gt;20, $B$4&lt;3, $B$3&lt;4), 'Vstupní hodnoty'!$K$5, 'Vstupní hodnoty'!$K$4)))</f>
        <v>27000</v>
      </c>
      <c r="I42">
        <f>IF($B$7=1, 'Vstupní hodnoty'!J$4*(2/3)/30*Model!D42, 0)</f>
        <v>0</v>
      </c>
      <c r="J42">
        <f>IF(Model!$B$5&gt;12,'Vstupní hodnoty'!$H$8*Model!D42,IF(Model!$B$5&gt;9,'Vstupní hodnoty'!$H$7*Model!D42,IF(Model!$B$5&gt;6,'Vstupní hodnoty'!$H$6*Model!D42,IF(Model!$B$5&gt;3,'Vstupní hodnoty'!$H$5*Model!D42,IF(Model!$B$5&gt;1,'Vstupní hodnoty'!$H$4*Model!D42,0)))))</f>
        <v>8379</v>
      </c>
      <c r="K42" s="5">
        <f>F42+G42+H42+E42*'Vstupní hodnoty'!L$4+J42*'Vstupní hodnoty'!L$4+I42*'Vstupní hodnoty'!L$4</f>
        <v>115083.48333333334</v>
      </c>
      <c r="L42" s="5">
        <f t="shared" si="1"/>
        <v>2348.6425170068028</v>
      </c>
      <c r="X42" s="14">
        <v>49</v>
      </c>
      <c r="Y42" s="5">
        <f>INDEX('Vstupní hodnoty'!$A$4:$A$15, MATCH(Model!$V$2,'Vstupní hodnoty'!$B$4:$B$15,0))/30*(X42+1*X42/7)</f>
        <v>86109.333333333343</v>
      </c>
      <c r="Z42">
        <f t="shared" si="2"/>
        <v>0</v>
      </c>
      <c r="AA42">
        <f t="shared" si="3"/>
        <v>24000</v>
      </c>
      <c r="AB42">
        <f>IF(X42&lt;14, 0, IF(AND(X42&gt;20,$V$4&lt;3,$V$3&lt;2), 'Vstupní hodnoty'!$I$6, IF(AND(X42&gt;20, $V$4&lt;4, $V$3&lt;4), 'Vstupní hodnoty'!$I$5, 'Vstupní hodnoty'!$I$4)))</f>
        <v>27000</v>
      </c>
      <c r="AC42">
        <f>IF($V$7=1, 'Vstupní hodnoty'!$J$4*(2/3)/30*Model!X42, 0)</f>
        <v>0</v>
      </c>
      <c r="AD42">
        <f>IF(Model!$V$5&gt;12,'Vstupní hodnoty'!$H$8*Model!X42,IF(Model!$V$5&gt;9,'Vstupní hodnoty'!$H$7*Model!X42,IF(Model!$V$5&gt;6,'Vstupní hodnoty'!$H$6*Model!X42,IF(Model!$V$5&gt;3,'Vstupní hodnoty'!$H$5*Model!X42,IF(Model!$V$5&gt;1,'Vstupní hodnoty'!$H$4*Model!X42,0)))))</f>
        <v>12593</v>
      </c>
      <c r="AE42" s="5">
        <f>Z42+AA42+AB42+Y42*'Vstupní hodnoty'!L$4+AD42*'Vstupní hodnoty'!L$4+AC42*'Vstupní hodnoty'!L$4</f>
        <v>134896.98333333334</v>
      </c>
      <c r="AF42" s="5">
        <f t="shared" si="4"/>
        <v>2752.9996598639455</v>
      </c>
      <c r="AK42" s="14">
        <v>49</v>
      </c>
      <c r="AL42" s="5">
        <f>INDEX('Vstupní hodnoty'!$A$4:$A$15, MATCH(Model!$AI$2,'Vstupní hodnoty'!$B$4:$B$15,0))/30*(AK42+1*AK42/7)</f>
        <v>86109.333333333343</v>
      </c>
      <c r="AM42">
        <f t="shared" si="5"/>
        <v>0</v>
      </c>
      <c r="AN42">
        <f t="shared" si="6"/>
        <v>24000</v>
      </c>
      <c r="AO42">
        <f>IF(OR(AK42&lt;14, AI$3=4, AI$4=4),0,IF(AK42&lt;21,'Vstupní hodnoty'!N$4,IF(AK42&lt;28,'Vstupní hodnoty'!N$5,IF(AK42&lt;35,'Vstupní hodnoty'!N$6,'Vstupní hodnoty'!N$6))))+IF(OR(AK42&lt;21, AI$4=4),0,IF(AI$3&lt;2,'Vstupní hodnoty'!O$6*'Vstupní hodnoty'!$A$17*(AK42-20),IF(Model!AI$3&lt;3,'Vstupní hodnoty'!O$5*'Vstupní hodnoty'!$A$17*(AK42-20),IF(Model!AI$3&lt;4,'Vstupní hodnoty'!O$4*'Vstupní hodnoty'!$A$17*(AK42-20),0))))+IF(OR(AK42&lt;21, AI$3=4), 0, IF(AI$4=1, 'Vstupní hodnoty'!P$6, IF(Model!AI$4=2, 'Vstupní hodnoty'!P$5, IF(Model!AI$4=3, 'Vstupní hodnoty'!P$4, 0))))</f>
        <v>49712</v>
      </c>
      <c r="AP42">
        <f>IF($AI$7=1, 'Vstupní hodnoty'!J$4*(2/3)/30*Model!AK42, 0)</f>
        <v>0</v>
      </c>
      <c r="AQ42">
        <f>IF(Model!$AI$5&gt;12,'Vstupní hodnoty'!$H$8*Model!AK42,IF(Model!$AI$5&gt;9,'Vstupní hodnoty'!$H$7*Model!AK42,IF(Model!$AI$5&gt;6,'Vstupní hodnoty'!$H$6*Model!AK42,IF(Model!$AI$5&gt;3,'Vstupní hodnoty'!$H$5*Model!AK42,IF(Model!$AI$5&gt;1,'Vstupní hodnoty'!$H$4*Model!AK42,0)))))</f>
        <v>12593</v>
      </c>
      <c r="AR42" s="5">
        <f>AM42+AN42+AO42+AL42*'Vstupní hodnoty'!L$4+AQ42*'Vstupní hodnoty'!L$4+AP42*'Vstupní hodnoty'!L$4</f>
        <v>157608.98333333334</v>
      </c>
      <c r="AS42" s="5">
        <f t="shared" si="7"/>
        <v>3216.5098639455782</v>
      </c>
      <c r="AX42" s="14">
        <v>49</v>
      </c>
      <c r="AY42" s="5">
        <f>INDEX('Vstupní hodnoty'!$A$4:$A$15, MATCH(Model!$AV$2,'Vstupní hodnoty'!$B$4:$B$15,0))/30*(AX42+1*AX42/7)</f>
        <v>67013.333333333343</v>
      </c>
      <c r="AZ42">
        <f t="shared" si="8"/>
        <v>0</v>
      </c>
      <c r="BA42">
        <f t="shared" si="9"/>
        <v>24000</v>
      </c>
      <c r="BB42" s="5">
        <f>IF(OR(AV$3=4,AV$4=4),0,'Roční bonus alt 2'!D41)+IF(OR(AX42&lt;21,AV$3=4,AV$4=4),0,IF(AV$3&lt;2,'Vstupní hodnoty'!O$6*'Vstupní hodnoty'!$A$17*(Model!AX42-20),IF(Model!AV$3&lt;3,'Vstupní hodnoty'!O$5*'Vstupní hodnoty'!$A$17*(Model!AX42-20),IF(Model!AV$3&lt;4,'Vstupní hodnoty'!O$4*'Vstupní hodnoty'!$A$17*(Model!AX42-20),0))))+IF(OR(AX42&lt;21,AV$3=4,AV$4=4),0,IF(AV$4=1,'Vstupní hodnoty'!P$6,IF(Model!AV$4=2,'Vstupní hodnoty'!P$5,IF(Model!AV$4=3,'Vstupní hodnoty'!P$4,0))))</f>
        <v>66352</v>
      </c>
      <c r="BC42">
        <f>IF($AV$7=1, 'Vstupní hodnoty'!J$4*(2/3)/30*Model!AX42, 0)</f>
        <v>0</v>
      </c>
      <c r="BD42">
        <f>IF(Model!$AV$5&gt;12,'Vstupní hodnoty'!$Q$8*Model!AX42,IF(Model!$AV$5&gt;9,'Vstupní hodnoty'!$Q$7*Model!AX42,IF(Model!$AV$5&gt;6,'Vstupní hodnoty'!$Q$6*Model!AX42,IF(Model!$AV$5&gt;3,'Vstupní hodnoty'!$Q$5*Model!AX42,IF(Model!$AV$5&gt;1,'Vstupní hodnoty'!$Q$4*Model!AX42,0)))))</f>
        <v>15288</v>
      </c>
      <c r="BE42" s="5">
        <f>AZ42+BA42+BB42+AY42*'Vstupní hodnoty'!L$4+BD42*'Vstupní hodnoty'!L$4+BC42*'Vstupní hodnoty'!L$4</f>
        <v>160308.13333333333</v>
      </c>
      <c r="BF42" s="5">
        <f t="shared" si="10"/>
        <v>3271.5945578231294</v>
      </c>
    </row>
    <row r="43" spans="4:58" x14ac:dyDescent="0.2">
      <c r="D43" s="14">
        <v>50</v>
      </c>
      <c r="E43" s="5">
        <f>INDEX('Vstupní hodnoty'!$A$4:$A$15, MATCH(Model!$B$2,'Vstupní hodnoty'!$B$4:$B$15,0))/30*(D43+1*D43/7)</f>
        <v>68380.952380952396</v>
      </c>
      <c r="F43">
        <f t="shared" si="0"/>
        <v>0</v>
      </c>
      <c r="G43">
        <f t="shared" si="11"/>
        <v>24000</v>
      </c>
      <c r="H43">
        <f>IF(D43&lt;14, 0, IF(AND(D43&gt;20,$B$4&lt;3,$B$3&lt;2), 'Vstupní hodnoty'!K$6, IF(AND(D43&gt;20, $B$4&lt;3, $B$3&lt;4), 'Vstupní hodnoty'!$K$5, 'Vstupní hodnoty'!$K$4)))</f>
        <v>27000</v>
      </c>
      <c r="I43">
        <f>IF($B$7=1, 'Vstupní hodnoty'!J$4*(2/3)/30*Model!D43, 0)</f>
        <v>0</v>
      </c>
      <c r="J43">
        <f>IF(Model!$B$5&gt;12,'Vstupní hodnoty'!$H$8*Model!D43,IF(Model!$B$5&gt;9,'Vstupní hodnoty'!$H$7*Model!D43,IF(Model!$B$5&gt;6,'Vstupní hodnoty'!$H$6*Model!D43,IF(Model!$B$5&gt;3,'Vstupní hodnoty'!$H$5*Model!D43,IF(Model!$B$5&gt;1,'Vstupní hodnoty'!$H$4*Model!D43,0)))))</f>
        <v>8550</v>
      </c>
      <c r="K43" s="5">
        <f>F43+G43+H43+E43*'Vstupní hodnoty'!L$4+J43*'Vstupní hodnoty'!L$4+I43*'Vstupní hodnoty'!L$4</f>
        <v>116391.30952380953</v>
      </c>
      <c r="L43" s="5">
        <f t="shared" si="1"/>
        <v>2327.8261904761907</v>
      </c>
      <c r="X43" s="14">
        <v>50</v>
      </c>
      <c r="Y43" s="5">
        <f>INDEX('Vstupní hodnoty'!$A$4:$A$15, MATCH(Model!$V$2,'Vstupní hodnoty'!$B$4:$B$15,0))/30*(X43+1*X43/7)</f>
        <v>87866.666666666672</v>
      </c>
      <c r="Z43">
        <f t="shared" si="2"/>
        <v>0</v>
      </c>
      <c r="AA43">
        <f t="shared" si="3"/>
        <v>24000</v>
      </c>
      <c r="AB43">
        <f>IF(X43&lt;14, 0, IF(AND(X43&gt;20,$V$4&lt;3,$V$3&lt;2), 'Vstupní hodnoty'!$I$6, IF(AND(X43&gt;20, $V$4&lt;4, $V$3&lt;4), 'Vstupní hodnoty'!$I$5, 'Vstupní hodnoty'!$I$4)))</f>
        <v>27000</v>
      </c>
      <c r="AC43">
        <f>IF($V$7=1, 'Vstupní hodnoty'!$J$4*(2/3)/30*Model!X43, 0)</f>
        <v>0</v>
      </c>
      <c r="AD43">
        <f>IF(Model!$V$5&gt;12,'Vstupní hodnoty'!$H$8*Model!X43,IF(Model!$V$5&gt;9,'Vstupní hodnoty'!$H$7*Model!X43,IF(Model!$V$5&gt;6,'Vstupní hodnoty'!$H$6*Model!X43,IF(Model!$V$5&gt;3,'Vstupní hodnoty'!$H$5*Model!X43,IF(Model!$V$5&gt;1,'Vstupní hodnoty'!$H$4*Model!X43,0)))))</f>
        <v>12850</v>
      </c>
      <c r="AE43" s="5">
        <f>Z43+AA43+AB43+Y43*'Vstupní hodnoty'!L$4+AD43*'Vstupní hodnoty'!L$4+AC43*'Vstupní hodnoty'!L$4</f>
        <v>136609.16666666669</v>
      </c>
      <c r="AF43" s="5">
        <f t="shared" si="4"/>
        <v>2732.1833333333338</v>
      </c>
      <c r="AK43" s="14">
        <v>50</v>
      </c>
      <c r="AL43" s="5">
        <f>INDEX('Vstupní hodnoty'!$A$4:$A$15, MATCH(Model!$AI$2,'Vstupní hodnoty'!$B$4:$B$15,0))/30*(AK43+1*AK43/7)</f>
        <v>87866.666666666672</v>
      </c>
      <c r="AM43">
        <f t="shared" si="5"/>
        <v>0</v>
      </c>
      <c r="AN43">
        <f t="shared" si="6"/>
        <v>24000</v>
      </c>
      <c r="AO43">
        <f>IF(OR(AK43&lt;14, AI$3=4, AI$4=4),0,IF(AK43&lt;21,'Vstupní hodnoty'!N$4,IF(AK43&lt;28,'Vstupní hodnoty'!N$5,IF(AK43&lt;35,'Vstupní hodnoty'!N$6,'Vstupní hodnoty'!N$6))))+IF(OR(AK43&lt;21, AI$4=4),0,IF(AI$3&lt;2,'Vstupní hodnoty'!O$6*'Vstupní hodnoty'!$A$17*(AK43-20),IF(Model!AI$3&lt;3,'Vstupní hodnoty'!O$5*'Vstupní hodnoty'!$A$17*(AK43-20),IF(Model!AI$3&lt;4,'Vstupní hodnoty'!O$4*'Vstupní hodnoty'!$A$17*(AK43-20),0))))+IF(OR(AK43&lt;21, AI$3=4), 0, IF(AI$4=1, 'Vstupní hodnoty'!P$6, IF(Model!AI$4=2, 'Vstupní hodnoty'!P$5, IF(Model!AI$4=3, 'Vstupní hodnoty'!P$4, 0))))</f>
        <v>49920</v>
      </c>
      <c r="AP43">
        <f>IF($AI$7=1, 'Vstupní hodnoty'!J$4*(2/3)/30*Model!AK43, 0)</f>
        <v>0</v>
      </c>
      <c r="AQ43">
        <f>IF(Model!$AI$5&gt;12,'Vstupní hodnoty'!$H$8*Model!AK43,IF(Model!$AI$5&gt;9,'Vstupní hodnoty'!$H$7*Model!AK43,IF(Model!$AI$5&gt;6,'Vstupní hodnoty'!$H$6*Model!AK43,IF(Model!$AI$5&gt;3,'Vstupní hodnoty'!$H$5*Model!AK43,IF(Model!$AI$5&gt;1,'Vstupní hodnoty'!$H$4*Model!AK43,0)))))</f>
        <v>12850</v>
      </c>
      <c r="AR43" s="5">
        <f>AM43+AN43+AO43+AL43*'Vstupní hodnoty'!L$4+AQ43*'Vstupní hodnoty'!L$4+AP43*'Vstupní hodnoty'!L$4</f>
        <v>159529.16666666669</v>
      </c>
      <c r="AS43" s="5">
        <f t="shared" si="7"/>
        <v>3190.5833333333339</v>
      </c>
      <c r="AX43" s="14">
        <v>50</v>
      </c>
      <c r="AY43" s="5">
        <f>INDEX('Vstupní hodnoty'!$A$4:$A$15, MATCH(Model!$AV$2,'Vstupní hodnoty'!$B$4:$B$15,0))/30*(AX43+1*AX43/7)</f>
        <v>68380.952380952396</v>
      </c>
      <c r="AZ43">
        <f t="shared" si="8"/>
        <v>0</v>
      </c>
      <c r="BA43">
        <f t="shared" si="9"/>
        <v>24000</v>
      </c>
      <c r="BB43" s="5">
        <f>IF(OR(AV$3=4,AV$4=4),0,'Roční bonus alt 2'!D42)+IF(OR(AX43&lt;21,AV$3=4,AV$4=4),0,IF(AV$3&lt;2,'Vstupní hodnoty'!O$6*'Vstupní hodnoty'!$A$17*(Model!AX43-20),IF(Model!AV$3&lt;3,'Vstupní hodnoty'!O$5*'Vstupní hodnoty'!$A$17*(Model!AX43-20),IF(Model!AV$3&lt;4,'Vstupní hodnoty'!O$4*'Vstupní hodnoty'!$A$17*(Model!AX43-20),0))))+IF(OR(AX43&lt;21,AV$3=4,AV$4=4),0,IF(AV$4=1,'Vstupní hodnoty'!P$6,IF(Model!AV$4=2,'Vstupní hodnoty'!P$5,IF(Model!AV$4=3,'Vstupní hodnoty'!P$4,0))))</f>
        <v>67946.666666666672</v>
      </c>
      <c r="BC43">
        <f>IF($AV$7=1, 'Vstupní hodnoty'!J$4*(2/3)/30*Model!AX43, 0)</f>
        <v>0</v>
      </c>
      <c r="BD43">
        <f>IF(Model!$AV$5&gt;12,'Vstupní hodnoty'!$Q$8*Model!AX43,IF(Model!$AV$5&gt;9,'Vstupní hodnoty'!$Q$7*Model!AX43,IF(Model!$AV$5&gt;6,'Vstupní hodnoty'!$Q$6*Model!AX43,IF(Model!$AV$5&gt;3,'Vstupní hodnoty'!$Q$5*Model!AX43,IF(Model!$AV$5&gt;1,'Vstupní hodnoty'!$Q$4*Model!AX43,0)))))</f>
        <v>15600</v>
      </c>
      <c r="BE43" s="5">
        <f>AZ43+BA43+BB43+AY43*'Vstupní hodnoty'!L$4+BD43*'Vstupní hodnoty'!L$4+BC43*'Vstupní hodnoty'!L$4</f>
        <v>163330.47619047621</v>
      </c>
      <c r="BF43" s="5">
        <f t="shared" si="10"/>
        <v>3266.609523809524</v>
      </c>
    </row>
    <row r="44" spans="4:58" x14ac:dyDescent="0.2">
      <c r="D44" s="14">
        <v>51</v>
      </c>
      <c r="E44" s="5">
        <f>INDEX('Vstupní hodnoty'!$A$4:$A$15, MATCH(Model!$B$2,'Vstupní hodnoty'!$B$4:$B$15,0))/30*(D44+1*D44/7)</f>
        <v>69748.571428571435</v>
      </c>
      <c r="F44">
        <f t="shared" si="0"/>
        <v>0</v>
      </c>
      <c r="G44">
        <f t="shared" si="11"/>
        <v>24000</v>
      </c>
      <c r="H44">
        <f>IF(D44&lt;14, 0, IF(AND(D44&gt;20,$B$4&lt;3,$B$3&lt;2), 'Vstupní hodnoty'!K$6, IF(AND(D44&gt;20, $B$4&lt;3, $B$3&lt;4), 'Vstupní hodnoty'!$K$5, 'Vstupní hodnoty'!$K$4)))</f>
        <v>27000</v>
      </c>
      <c r="I44">
        <f>IF($B$7=1, 'Vstupní hodnoty'!J$4*(2/3)/30*Model!D44, 0)</f>
        <v>0</v>
      </c>
      <c r="J44">
        <f>IF(Model!$B$5&gt;12,'Vstupní hodnoty'!$H$8*Model!D44,IF(Model!$B$5&gt;9,'Vstupní hodnoty'!$H$7*Model!D44,IF(Model!$B$5&gt;6,'Vstupní hodnoty'!$H$6*Model!D44,IF(Model!$B$5&gt;3,'Vstupní hodnoty'!$H$5*Model!D44,IF(Model!$B$5&gt;1,'Vstupní hodnoty'!$H$4*Model!D44,0)))))</f>
        <v>8721</v>
      </c>
      <c r="K44" s="5">
        <f>F44+G44+H44+E44*'Vstupní hodnoty'!L$4+J44*'Vstupní hodnoty'!L$4+I44*'Vstupní hodnoty'!L$4</f>
        <v>117699.13571428572</v>
      </c>
      <c r="L44" s="5">
        <f t="shared" si="1"/>
        <v>2307.8261904761907</v>
      </c>
      <c r="X44" s="14">
        <v>51</v>
      </c>
      <c r="Y44" s="5">
        <f>INDEX('Vstupní hodnoty'!$A$4:$A$15, MATCH(Model!$V$2,'Vstupní hodnoty'!$B$4:$B$15,0))/30*(X44+1*X44/7)</f>
        <v>89624</v>
      </c>
      <c r="Z44">
        <f t="shared" si="2"/>
        <v>0</v>
      </c>
      <c r="AA44">
        <f t="shared" si="3"/>
        <v>24000</v>
      </c>
      <c r="AB44">
        <f>IF(X44&lt;14, 0, IF(AND(X44&gt;20,$V$4&lt;3,$V$3&lt;2), 'Vstupní hodnoty'!$I$6, IF(AND(X44&gt;20, $V$4&lt;4, $V$3&lt;4), 'Vstupní hodnoty'!$I$5, 'Vstupní hodnoty'!$I$4)))</f>
        <v>27000</v>
      </c>
      <c r="AC44">
        <f>IF($V$7=1, 'Vstupní hodnoty'!$J$4*(2/3)/30*Model!X44, 0)</f>
        <v>0</v>
      </c>
      <c r="AD44">
        <f>IF(Model!$V$5&gt;12,'Vstupní hodnoty'!$H$8*Model!X44,IF(Model!$V$5&gt;9,'Vstupní hodnoty'!$H$7*Model!X44,IF(Model!$V$5&gt;6,'Vstupní hodnoty'!$H$6*Model!X44,IF(Model!$V$5&gt;3,'Vstupní hodnoty'!$H$5*Model!X44,IF(Model!$V$5&gt;1,'Vstupní hodnoty'!$H$4*Model!X44,0)))))</f>
        <v>13107</v>
      </c>
      <c r="AE44" s="5">
        <f>Z44+AA44+AB44+Y44*'Vstupní hodnoty'!L$4+AD44*'Vstupní hodnoty'!L$4+AC44*'Vstupní hodnoty'!L$4</f>
        <v>138321.35</v>
      </c>
      <c r="AF44" s="5">
        <f t="shared" si="4"/>
        <v>2712.1833333333334</v>
      </c>
      <c r="AK44" s="14">
        <v>51</v>
      </c>
      <c r="AL44" s="5">
        <f>INDEX('Vstupní hodnoty'!$A$4:$A$15, MATCH(Model!$AI$2,'Vstupní hodnoty'!$B$4:$B$15,0))/30*(AK44+1*AK44/7)</f>
        <v>89624</v>
      </c>
      <c r="AM44">
        <f t="shared" si="5"/>
        <v>0</v>
      </c>
      <c r="AN44">
        <f t="shared" si="6"/>
        <v>24000</v>
      </c>
      <c r="AO44">
        <f>IF(OR(AK44&lt;14, AI$3=4, AI$4=4),0,IF(AK44&lt;21,'Vstupní hodnoty'!N$4,IF(AK44&lt;28,'Vstupní hodnoty'!N$5,IF(AK44&lt;35,'Vstupní hodnoty'!N$6,'Vstupní hodnoty'!N$6))))+IF(OR(AK44&lt;21, AI$4=4),0,IF(AI$3&lt;2,'Vstupní hodnoty'!O$6*'Vstupní hodnoty'!$A$17*(AK44-20),IF(Model!AI$3&lt;3,'Vstupní hodnoty'!O$5*'Vstupní hodnoty'!$A$17*(AK44-20),IF(Model!AI$3&lt;4,'Vstupní hodnoty'!O$4*'Vstupní hodnoty'!$A$17*(AK44-20),0))))+IF(OR(AK44&lt;21, AI$3=4), 0, IF(AI$4=1, 'Vstupní hodnoty'!P$6, IF(Model!AI$4=2, 'Vstupní hodnoty'!P$5, IF(Model!AI$4=3, 'Vstupní hodnoty'!P$4, 0))))</f>
        <v>50128</v>
      </c>
      <c r="AP44">
        <f>IF($AI$7=1, 'Vstupní hodnoty'!J$4*(2/3)/30*Model!AK44, 0)</f>
        <v>0</v>
      </c>
      <c r="AQ44">
        <f>IF(Model!$AI$5&gt;12,'Vstupní hodnoty'!$H$8*Model!AK44,IF(Model!$AI$5&gt;9,'Vstupní hodnoty'!$H$7*Model!AK44,IF(Model!$AI$5&gt;6,'Vstupní hodnoty'!$H$6*Model!AK44,IF(Model!$AI$5&gt;3,'Vstupní hodnoty'!$H$5*Model!AK44,IF(Model!$AI$5&gt;1,'Vstupní hodnoty'!$H$4*Model!AK44,0)))))</f>
        <v>13107</v>
      </c>
      <c r="AR44" s="5">
        <f>AM44+AN44+AO44+AL44*'Vstupní hodnoty'!L$4+AQ44*'Vstupní hodnoty'!L$4+AP44*'Vstupní hodnoty'!L$4</f>
        <v>161449.35</v>
      </c>
      <c r="AS44" s="5">
        <f t="shared" si="7"/>
        <v>3165.6735294117648</v>
      </c>
      <c r="AX44" s="14">
        <v>51</v>
      </c>
      <c r="AY44" s="5">
        <f>INDEX('Vstupní hodnoty'!$A$4:$A$15, MATCH(Model!$AV$2,'Vstupní hodnoty'!$B$4:$B$15,0))/30*(AX44+1*AX44/7)</f>
        <v>69748.571428571435</v>
      </c>
      <c r="AZ44">
        <f t="shared" si="8"/>
        <v>0</v>
      </c>
      <c r="BA44">
        <f t="shared" si="9"/>
        <v>24000</v>
      </c>
      <c r="BB44" s="5">
        <f>IF(OR(AV$3=4,AV$4=4),0,'Roční bonus alt 2'!D43)+IF(OR(AX44&lt;21,AV$3=4,AV$4=4),0,IF(AV$3&lt;2,'Vstupní hodnoty'!O$6*'Vstupní hodnoty'!$A$17*(Model!AX44-20),IF(Model!AV$3&lt;3,'Vstupní hodnoty'!O$5*'Vstupní hodnoty'!$A$17*(Model!AX44-20),IF(Model!AV$3&lt;4,'Vstupní hodnoty'!O$4*'Vstupní hodnoty'!$A$17*(Model!AX44-20),0))))+IF(OR(AX44&lt;21,AV$3=4,AV$4=4),0,IF(AV$4=1,'Vstupní hodnoty'!P$6,IF(Model!AV$4=2,'Vstupní hodnoty'!P$5,IF(Model!AV$4=3,'Vstupní hodnoty'!P$4,0))))</f>
        <v>69541.333333333343</v>
      </c>
      <c r="BC44">
        <f>IF($AV$7=1, 'Vstupní hodnoty'!J$4*(2/3)/30*Model!AX44, 0)</f>
        <v>0</v>
      </c>
      <c r="BD44">
        <f>IF(Model!$AV$5&gt;12,'Vstupní hodnoty'!$Q$8*Model!AX44,IF(Model!$AV$5&gt;9,'Vstupní hodnoty'!$Q$7*Model!AX44,IF(Model!$AV$5&gt;6,'Vstupní hodnoty'!$Q$6*Model!AX44,IF(Model!$AV$5&gt;3,'Vstupní hodnoty'!$Q$5*Model!AX44,IF(Model!$AV$5&gt;1,'Vstupní hodnoty'!$Q$4*Model!AX44,0)))))</f>
        <v>15912</v>
      </c>
      <c r="BE44" s="5">
        <f>AZ44+BA44+BB44+AY44*'Vstupní hodnoty'!L$4+BD44*'Vstupní hodnoty'!L$4+BC44*'Vstupní hodnoty'!L$4</f>
        <v>166352.81904761906</v>
      </c>
      <c r="BF44" s="5">
        <f t="shared" si="10"/>
        <v>3261.8199813258639</v>
      </c>
    </row>
    <row r="45" spans="4:58" x14ac:dyDescent="0.2">
      <c r="D45" s="14">
        <v>52</v>
      </c>
      <c r="E45" s="5">
        <f>INDEX('Vstupní hodnoty'!$A$4:$A$15, MATCH(Model!$B$2,'Vstupní hodnoty'!$B$4:$B$15,0))/30*(D45+1*D45/7)</f>
        <v>71116.190476190488</v>
      </c>
      <c r="F45">
        <f t="shared" si="0"/>
        <v>0</v>
      </c>
      <c r="G45">
        <f t="shared" si="11"/>
        <v>24000</v>
      </c>
      <c r="H45">
        <f>IF(D45&lt;14, 0, IF(AND(D45&gt;20,$B$4&lt;3,$B$3&lt;2), 'Vstupní hodnoty'!K$6, IF(AND(D45&gt;20, $B$4&lt;3, $B$3&lt;4), 'Vstupní hodnoty'!$K$5, 'Vstupní hodnoty'!$K$4)))</f>
        <v>27000</v>
      </c>
      <c r="I45">
        <f>IF($B$7=1, 'Vstupní hodnoty'!J$4*(2/3)/30*Model!D45, 0)</f>
        <v>0</v>
      </c>
      <c r="J45">
        <f>IF(Model!$B$5&gt;12,'Vstupní hodnoty'!$H$8*Model!D45,IF(Model!$B$5&gt;9,'Vstupní hodnoty'!$H$7*Model!D45,IF(Model!$B$5&gt;6,'Vstupní hodnoty'!$H$6*Model!D45,IF(Model!$B$5&gt;3,'Vstupní hodnoty'!$H$5*Model!D45,IF(Model!$B$5&gt;1,'Vstupní hodnoty'!$H$4*Model!D45,0)))))</f>
        <v>8892</v>
      </c>
      <c r="K45" s="5">
        <f>F45+G45+H45+E45*'Vstupní hodnoty'!L$4+J45*'Vstupní hodnoty'!L$4+I45*'Vstupní hodnoty'!L$4</f>
        <v>119006.96190476192</v>
      </c>
      <c r="L45" s="5">
        <f t="shared" si="1"/>
        <v>2288.5954212454217</v>
      </c>
      <c r="X45" s="14">
        <v>52</v>
      </c>
      <c r="Y45" s="5">
        <f>INDEX('Vstupní hodnoty'!$A$4:$A$15, MATCH(Model!$V$2,'Vstupní hodnoty'!$B$4:$B$15,0))/30*(X45+1*X45/7)</f>
        <v>91381.333333333343</v>
      </c>
      <c r="Z45">
        <f t="shared" si="2"/>
        <v>0</v>
      </c>
      <c r="AA45">
        <f t="shared" si="3"/>
        <v>24000</v>
      </c>
      <c r="AB45">
        <f>IF(X45&lt;14, 0, IF(AND(X45&gt;20,$V$4&lt;3,$V$3&lt;2), 'Vstupní hodnoty'!$I$6, IF(AND(X45&gt;20, $V$4&lt;4, $V$3&lt;4), 'Vstupní hodnoty'!$I$5, 'Vstupní hodnoty'!$I$4)))</f>
        <v>27000</v>
      </c>
      <c r="AC45">
        <f>IF($V$7=1, 'Vstupní hodnoty'!$J$4*(2/3)/30*Model!X45, 0)</f>
        <v>0</v>
      </c>
      <c r="AD45">
        <f>IF(Model!$V$5&gt;12,'Vstupní hodnoty'!$H$8*Model!X45,IF(Model!$V$5&gt;9,'Vstupní hodnoty'!$H$7*Model!X45,IF(Model!$V$5&gt;6,'Vstupní hodnoty'!$H$6*Model!X45,IF(Model!$V$5&gt;3,'Vstupní hodnoty'!$H$5*Model!X45,IF(Model!$V$5&gt;1,'Vstupní hodnoty'!$H$4*Model!X45,0)))))</f>
        <v>13364</v>
      </c>
      <c r="AE45" s="5">
        <f>Z45+AA45+AB45+Y45*'Vstupní hodnoty'!L$4+AD45*'Vstupní hodnoty'!L$4+AC45*'Vstupní hodnoty'!L$4</f>
        <v>140033.53333333335</v>
      </c>
      <c r="AF45" s="5">
        <f t="shared" si="4"/>
        <v>2692.9525641025643</v>
      </c>
      <c r="AK45" s="14">
        <v>52</v>
      </c>
      <c r="AL45" s="5">
        <f>INDEX('Vstupní hodnoty'!$A$4:$A$15, MATCH(Model!$AI$2,'Vstupní hodnoty'!$B$4:$B$15,0))/30*(AK45+1*AK45/7)</f>
        <v>91381.333333333343</v>
      </c>
      <c r="AM45">
        <f t="shared" si="5"/>
        <v>0</v>
      </c>
      <c r="AN45">
        <f t="shared" si="6"/>
        <v>24000</v>
      </c>
      <c r="AO45">
        <f>IF(OR(AK45&lt;14, AI$3=4, AI$4=4),0,IF(AK45&lt;21,'Vstupní hodnoty'!N$4,IF(AK45&lt;28,'Vstupní hodnoty'!N$5,IF(AK45&lt;35,'Vstupní hodnoty'!N$6,'Vstupní hodnoty'!N$6))))+IF(OR(AK45&lt;21, AI$4=4),0,IF(AI$3&lt;2,'Vstupní hodnoty'!O$6*'Vstupní hodnoty'!$A$17*(AK45-20),IF(Model!AI$3&lt;3,'Vstupní hodnoty'!O$5*'Vstupní hodnoty'!$A$17*(AK45-20),IF(Model!AI$3&lt;4,'Vstupní hodnoty'!O$4*'Vstupní hodnoty'!$A$17*(AK45-20),0))))+IF(OR(AK45&lt;21, AI$3=4), 0, IF(AI$4=1, 'Vstupní hodnoty'!P$6, IF(Model!AI$4=2, 'Vstupní hodnoty'!P$5, IF(Model!AI$4=3, 'Vstupní hodnoty'!P$4, 0))))</f>
        <v>50336</v>
      </c>
      <c r="AP45">
        <f>IF($AI$7=1, 'Vstupní hodnoty'!J$4*(2/3)/30*Model!AK45, 0)</f>
        <v>0</v>
      </c>
      <c r="AQ45">
        <f>IF(Model!$AI$5&gt;12,'Vstupní hodnoty'!$H$8*Model!AK45,IF(Model!$AI$5&gt;9,'Vstupní hodnoty'!$H$7*Model!AK45,IF(Model!$AI$5&gt;6,'Vstupní hodnoty'!$H$6*Model!AK45,IF(Model!$AI$5&gt;3,'Vstupní hodnoty'!$H$5*Model!AK45,IF(Model!$AI$5&gt;1,'Vstupní hodnoty'!$H$4*Model!AK45,0)))))</f>
        <v>13364</v>
      </c>
      <c r="AR45" s="5">
        <f>AM45+AN45+AO45+AL45*'Vstupní hodnoty'!L$4+AQ45*'Vstupní hodnoty'!L$4+AP45*'Vstupní hodnoty'!L$4</f>
        <v>163369.53333333335</v>
      </c>
      <c r="AS45" s="5">
        <f t="shared" si="7"/>
        <v>3141.7217948717953</v>
      </c>
      <c r="AX45" s="14">
        <v>52</v>
      </c>
      <c r="AY45" s="5">
        <f>INDEX('Vstupní hodnoty'!$A$4:$A$15, MATCH(Model!$AV$2,'Vstupní hodnoty'!$B$4:$B$15,0))/30*(AX45+1*AX45/7)</f>
        <v>71116.190476190488</v>
      </c>
      <c r="AZ45">
        <f t="shared" si="8"/>
        <v>0</v>
      </c>
      <c r="BA45">
        <f t="shared" si="9"/>
        <v>24000</v>
      </c>
      <c r="BB45" s="5">
        <f>IF(OR(AV$3=4,AV$4=4),0,'Roční bonus alt 2'!D44)+IF(OR(AX45&lt;21,AV$3=4,AV$4=4),0,IF(AV$3&lt;2,'Vstupní hodnoty'!O$6*'Vstupní hodnoty'!$A$17*(Model!AX45-20),IF(Model!AV$3&lt;3,'Vstupní hodnoty'!O$5*'Vstupní hodnoty'!$A$17*(Model!AX45-20),IF(Model!AV$3&lt;4,'Vstupní hodnoty'!O$4*'Vstupní hodnoty'!$A$17*(Model!AX45-20),0))))+IF(OR(AX45&lt;21,AV$3=4,AV$4=4),0,IF(AV$4=1,'Vstupní hodnoty'!P$6,IF(Model!AV$4=2,'Vstupní hodnoty'!P$5,IF(Model!AV$4=3,'Vstupní hodnoty'!P$4,0))))</f>
        <v>71136</v>
      </c>
      <c r="BC45">
        <f>IF($AV$7=1, 'Vstupní hodnoty'!J$4*(2/3)/30*Model!AX45, 0)</f>
        <v>0</v>
      </c>
      <c r="BD45">
        <f>IF(Model!$AV$5&gt;12,'Vstupní hodnoty'!$Q$8*Model!AX45,IF(Model!$AV$5&gt;9,'Vstupní hodnoty'!$Q$7*Model!AX45,IF(Model!$AV$5&gt;6,'Vstupní hodnoty'!$Q$6*Model!AX45,IF(Model!$AV$5&gt;3,'Vstupní hodnoty'!$Q$5*Model!AX45,IF(Model!$AV$5&gt;1,'Vstupní hodnoty'!$Q$4*Model!AX45,0)))))</f>
        <v>16224</v>
      </c>
      <c r="BE45" s="5">
        <f>AZ45+BA45+BB45+AY45*'Vstupní hodnoty'!L$4+BD45*'Vstupní hodnoty'!L$4+BC45*'Vstupní hodnoty'!L$4</f>
        <v>169375.16190476192</v>
      </c>
      <c r="BF45" s="5">
        <f t="shared" si="10"/>
        <v>3257.2146520146521</v>
      </c>
    </row>
    <row r="46" spans="4:58" x14ac:dyDescent="0.2">
      <c r="D46" s="14">
        <v>53</v>
      </c>
      <c r="E46" s="5">
        <f>INDEX('Vstupní hodnoty'!$A$4:$A$15, MATCH(Model!$B$2,'Vstupní hodnoty'!$B$4:$B$15,0))/30*(D46+1*D46/7)</f>
        <v>72483.809523809527</v>
      </c>
      <c r="F46">
        <f t="shared" si="0"/>
        <v>0</v>
      </c>
      <c r="G46">
        <f t="shared" si="11"/>
        <v>24000</v>
      </c>
      <c r="H46">
        <f>IF(D46&lt;14, 0, IF(AND(D46&gt;20,$B$4&lt;3,$B$3&lt;2), 'Vstupní hodnoty'!K$6, IF(AND(D46&gt;20, $B$4&lt;3, $B$3&lt;4), 'Vstupní hodnoty'!$K$5, 'Vstupní hodnoty'!$K$4)))</f>
        <v>27000</v>
      </c>
      <c r="I46">
        <f>IF($B$7=1, 'Vstupní hodnoty'!J$4*(2/3)/30*Model!D46, 0)</f>
        <v>0</v>
      </c>
      <c r="J46">
        <f>IF(Model!$B$5&gt;12,'Vstupní hodnoty'!$H$8*Model!D46,IF(Model!$B$5&gt;9,'Vstupní hodnoty'!$H$7*Model!D46,IF(Model!$B$5&gt;6,'Vstupní hodnoty'!$H$6*Model!D46,IF(Model!$B$5&gt;3,'Vstupní hodnoty'!$H$5*Model!D46,IF(Model!$B$5&gt;1,'Vstupní hodnoty'!$H$4*Model!D46,0)))))</f>
        <v>9063</v>
      </c>
      <c r="K46" s="5">
        <f>F46+G46+H46+E46*'Vstupní hodnoty'!L$4+J46*'Vstupní hodnoty'!L$4+I46*'Vstupní hodnoty'!L$4</f>
        <v>120314.78809523811</v>
      </c>
      <c r="L46" s="5">
        <f t="shared" si="1"/>
        <v>2270.0903414195868</v>
      </c>
      <c r="X46" s="14">
        <v>53</v>
      </c>
      <c r="Y46" s="5">
        <f>INDEX('Vstupní hodnoty'!$A$4:$A$15, MATCH(Model!$V$2,'Vstupní hodnoty'!$B$4:$B$15,0))/30*(X46+1*X46/7)</f>
        <v>93138.666666666672</v>
      </c>
      <c r="Z46">
        <f t="shared" si="2"/>
        <v>0</v>
      </c>
      <c r="AA46">
        <f t="shared" si="3"/>
        <v>24000</v>
      </c>
      <c r="AB46">
        <f>IF(X46&lt;14, 0, IF(AND(X46&gt;20,$V$4&lt;3,$V$3&lt;2), 'Vstupní hodnoty'!$I$6, IF(AND(X46&gt;20, $V$4&lt;4, $V$3&lt;4), 'Vstupní hodnoty'!$I$5, 'Vstupní hodnoty'!$I$4)))</f>
        <v>27000</v>
      </c>
      <c r="AC46">
        <f>IF($V$7=1, 'Vstupní hodnoty'!$J$4*(2/3)/30*Model!X46, 0)</f>
        <v>0</v>
      </c>
      <c r="AD46">
        <f>IF(Model!$V$5&gt;12,'Vstupní hodnoty'!$H$8*Model!X46,IF(Model!$V$5&gt;9,'Vstupní hodnoty'!$H$7*Model!X46,IF(Model!$V$5&gt;6,'Vstupní hodnoty'!$H$6*Model!X46,IF(Model!$V$5&gt;3,'Vstupní hodnoty'!$H$5*Model!X46,IF(Model!$V$5&gt;1,'Vstupní hodnoty'!$H$4*Model!X46,0)))))</f>
        <v>13621</v>
      </c>
      <c r="AE46" s="5">
        <f>Z46+AA46+AB46+Y46*'Vstupní hodnoty'!L$4+AD46*'Vstupní hodnoty'!L$4+AC46*'Vstupní hodnoty'!L$4</f>
        <v>141745.71666666667</v>
      </c>
      <c r="AF46" s="5">
        <f t="shared" si="4"/>
        <v>2674.4474842767295</v>
      </c>
      <c r="AK46" s="14">
        <v>53</v>
      </c>
      <c r="AL46" s="5">
        <f>INDEX('Vstupní hodnoty'!$A$4:$A$15, MATCH(Model!$AI$2,'Vstupní hodnoty'!$B$4:$B$15,0))/30*(AK46+1*AK46/7)</f>
        <v>93138.666666666672</v>
      </c>
      <c r="AM46">
        <f t="shared" si="5"/>
        <v>0</v>
      </c>
      <c r="AN46">
        <f t="shared" si="6"/>
        <v>24000</v>
      </c>
      <c r="AO46">
        <f>IF(OR(AK46&lt;14, AI$3=4, AI$4=4),0,IF(AK46&lt;21,'Vstupní hodnoty'!N$4,IF(AK46&lt;28,'Vstupní hodnoty'!N$5,IF(AK46&lt;35,'Vstupní hodnoty'!N$6,'Vstupní hodnoty'!N$6))))+IF(OR(AK46&lt;21, AI$4=4),0,IF(AI$3&lt;2,'Vstupní hodnoty'!O$6*'Vstupní hodnoty'!$A$17*(AK46-20),IF(Model!AI$3&lt;3,'Vstupní hodnoty'!O$5*'Vstupní hodnoty'!$A$17*(AK46-20),IF(Model!AI$3&lt;4,'Vstupní hodnoty'!O$4*'Vstupní hodnoty'!$A$17*(AK46-20),0))))+IF(OR(AK46&lt;21, AI$3=4), 0, IF(AI$4=1, 'Vstupní hodnoty'!P$6, IF(Model!AI$4=2, 'Vstupní hodnoty'!P$5, IF(Model!AI$4=3, 'Vstupní hodnoty'!P$4, 0))))</f>
        <v>50544</v>
      </c>
      <c r="AP46">
        <f>IF($AI$7=1, 'Vstupní hodnoty'!J$4*(2/3)/30*Model!AK46, 0)</f>
        <v>0</v>
      </c>
      <c r="AQ46">
        <f>IF(Model!$AI$5&gt;12,'Vstupní hodnoty'!$H$8*Model!AK46,IF(Model!$AI$5&gt;9,'Vstupní hodnoty'!$H$7*Model!AK46,IF(Model!$AI$5&gt;6,'Vstupní hodnoty'!$H$6*Model!AK46,IF(Model!$AI$5&gt;3,'Vstupní hodnoty'!$H$5*Model!AK46,IF(Model!$AI$5&gt;1,'Vstupní hodnoty'!$H$4*Model!AK46,0)))))</f>
        <v>13621</v>
      </c>
      <c r="AR46" s="5">
        <f>AM46+AN46+AO46+AL46*'Vstupní hodnoty'!L$4+AQ46*'Vstupní hodnoty'!L$4+AP46*'Vstupní hodnoty'!L$4</f>
        <v>165289.71666666667</v>
      </c>
      <c r="AS46" s="5">
        <f t="shared" si="7"/>
        <v>3118.6738993710692</v>
      </c>
      <c r="AX46" s="14">
        <v>53</v>
      </c>
      <c r="AY46" s="5">
        <f>INDEX('Vstupní hodnoty'!$A$4:$A$15, MATCH(Model!$AV$2,'Vstupní hodnoty'!$B$4:$B$15,0))/30*(AX46+1*AX46/7)</f>
        <v>72483.809523809527</v>
      </c>
      <c r="AZ46">
        <f t="shared" si="8"/>
        <v>0</v>
      </c>
      <c r="BA46">
        <f t="shared" si="9"/>
        <v>24000</v>
      </c>
      <c r="BB46" s="5">
        <f>IF(OR(AV$3=4,AV$4=4),0,'Roční bonus alt 2'!D45)+IF(OR(AX46&lt;21,AV$3=4,AV$4=4),0,IF(AV$3&lt;2,'Vstupní hodnoty'!O$6*'Vstupní hodnoty'!$A$17*(Model!AX46-20),IF(Model!AV$3&lt;3,'Vstupní hodnoty'!O$5*'Vstupní hodnoty'!$A$17*(Model!AX46-20),IF(Model!AV$3&lt;4,'Vstupní hodnoty'!O$4*'Vstupní hodnoty'!$A$17*(Model!AX46-20),0))))+IF(OR(AX46&lt;21,AV$3=4,AV$4=4),0,IF(AV$4=1,'Vstupní hodnoty'!P$6,IF(Model!AV$4=2,'Vstupní hodnoty'!P$5,IF(Model!AV$4=3,'Vstupní hodnoty'!P$4,0))))</f>
        <v>72730.666666666657</v>
      </c>
      <c r="BC46">
        <f>IF($AV$7=1, 'Vstupní hodnoty'!J$4*(2/3)/30*Model!AX46, 0)</f>
        <v>0</v>
      </c>
      <c r="BD46">
        <f>IF(Model!$AV$5&gt;12,'Vstupní hodnoty'!$Q$8*Model!AX46,IF(Model!$AV$5&gt;9,'Vstupní hodnoty'!$Q$7*Model!AX46,IF(Model!$AV$5&gt;6,'Vstupní hodnoty'!$Q$6*Model!AX46,IF(Model!$AV$5&gt;3,'Vstupní hodnoty'!$Q$5*Model!AX46,IF(Model!$AV$5&gt;1,'Vstupní hodnoty'!$Q$4*Model!AX46,0)))))</f>
        <v>16536</v>
      </c>
      <c r="BE46" s="5">
        <f>AZ46+BA46+BB46+AY46*'Vstupní hodnoty'!L$4+BD46*'Vstupní hodnoty'!L$4+BC46*'Vstupní hodnoty'!L$4</f>
        <v>172397.50476190477</v>
      </c>
      <c r="BF46" s="5">
        <f t="shared" si="10"/>
        <v>3252.7831087151844</v>
      </c>
    </row>
    <row r="47" spans="4:58" x14ac:dyDescent="0.2">
      <c r="D47" s="14">
        <v>54</v>
      </c>
      <c r="E47" s="5">
        <f>INDEX('Vstupní hodnoty'!$A$4:$A$15, MATCH(Model!$B$2,'Vstupní hodnoty'!$B$4:$B$15,0))/30*(D47+1*D47/7)</f>
        <v>73851.42857142858</v>
      </c>
      <c r="F47">
        <f t="shared" si="0"/>
        <v>0</v>
      </c>
      <c r="G47">
        <f t="shared" si="11"/>
        <v>24000</v>
      </c>
      <c r="H47">
        <f>IF(D47&lt;14, 0, IF(AND(D47&gt;20,$B$4&lt;3,$B$3&lt;2), 'Vstupní hodnoty'!K$6, IF(AND(D47&gt;20, $B$4&lt;3, $B$3&lt;4), 'Vstupní hodnoty'!$K$5, 'Vstupní hodnoty'!$K$4)))</f>
        <v>27000</v>
      </c>
      <c r="I47">
        <f>IF($B$7=1, 'Vstupní hodnoty'!J$4*(2/3)/30*Model!D47, 0)</f>
        <v>0</v>
      </c>
      <c r="J47">
        <f>IF(Model!$B$5&gt;12,'Vstupní hodnoty'!$H$8*Model!D47,IF(Model!$B$5&gt;9,'Vstupní hodnoty'!$H$7*Model!D47,IF(Model!$B$5&gt;6,'Vstupní hodnoty'!$H$6*Model!D47,IF(Model!$B$5&gt;3,'Vstupní hodnoty'!$H$5*Model!D47,IF(Model!$B$5&gt;1,'Vstupní hodnoty'!$H$4*Model!D47,0)))))</f>
        <v>9234</v>
      </c>
      <c r="K47" s="5">
        <f>F47+G47+H47+E47*'Vstupní hodnoty'!L$4+J47*'Vstupní hodnoty'!L$4+I47*'Vstupní hodnoty'!L$4</f>
        <v>121622.61428571428</v>
      </c>
      <c r="L47" s="5">
        <f t="shared" si="1"/>
        <v>2252.2706349206351</v>
      </c>
      <c r="X47" s="14">
        <v>54</v>
      </c>
      <c r="Y47" s="5">
        <f>INDEX('Vstupní hodnoty'!$A$4:$A$15, MATCH(Model!$V$2,'Vstupní hodnoty'!$B$4:$B$15,0))/30*(X47+1*X47/7)</f>
        <v>94896</v>
      </c>
      <c r="Z47">
        <f t="shared" si="2"/>
        <v>0</v>
      </c>
      <c r="AA47">
        <f t="shared" si="3"/>
        <v>24000</v>
      </c>
      <c r="AB47">
        <f>IF(X47&lt;14, 0, IF(AND(X47&gt;20,$V$4&lt;3,$V$3&lt;2), 'Vstupní hodnoty'!$I$6, IF(AND(X47&gt;20, $V$4&lt;4, $V$3&lt;4), 'Vstupní hodnoty'!$I$5, 'Vstupní hodnoty'!$I$4)))</f>
        <v>27000</v>
      </c>
      <c r="AC47">
        <f>IF($V$7=1, 'Vstupní hodnoty'!$J$4*(2/3)/30*Model!X47, 0)</f>
        <v>0</v>
      </c>
      <c r="AD47">
        <f>IF(Model!$V$5&gt;12,'Vstupní hodnoty'!$H$8*Model!X47,IF(Model!$V$5&gt;9,'Vstupní hodnoty'!$H$7*Model!X47,IF(Model!$V$5&gt;6,'Vstupní hodnoty'!$H$6*Model!X47,IF(Model!$V$5&gt;3,'Vstupní hodnoty'!$H$5*Model!X47,IF(Model!$V$5&gt;1,'Vstupní hodnoty'!$H$4*Model!X47,0)))))</f>
        <v>13878</v>
      </c>
      <c r="AE47" s="5">
        <f>Z47+AA47+AB47+Y47*'Vstupní hodnoty'!L$4+AD47*'Vstupní hodnoty'!L$4+AC47*'Vstupní hodnoty'!L$4</f>
        <v>143457.89999999997</v>
      </c>
      <c r="AF47" s="5">
        <f t="shared" si="4"/>
        <v>2656.6277777777773</v>
      </c>
      <c r="AK47" s="14">
        <v>54</v>
      </c>
      <c r="AL47" s="5">
        <f>INDEX('Vstupní hodnoty'!$A$4:$A$15, MATCH(Model!$AI$2,'Vstupní hodnoty'!$B$4:$B$15,0))/30*(AK47+1*AK47/7)</f>
        <v>94896</v>
      </c>
      <c r="AM47">
        <f t="shared" si="5"/>
        <v>0</v>
      </c>
      <c r="AN47">
        <f t="shared" si="6"/>
        <v>24000</v>
      </c>
      <c r="AO47">
        <f>IF(OR(AK47&lt;14, AI$3=4, AI$4=4),0,IF(AK47&lt;21,'Vstupní hodnoty'!N$4,IF(AK47&lt;28,'Vstupní hodnoty'!N$5,IF(AK47&lt;35,'Vstupní hodnoty'!N$6,'Vstupní hodnoty'!N$6))))+IF(OR(AK47&lt;21, AI$4=4),0,IF(AI$3&lt;2,'Vstupní hodnoty'!O$6*'Vstupní hodnoty'!$A$17*(AK47-20),IF(Model!AI$3&lt;3,'Vstupní hodnoty'!O$5*'Vstupní hodnoty'!$A$17*(AK47-20),IF(Model!AI$3&lt;4,'Vstupní hodnoty'!O$4*'Vstupní hodnoty'!$A$17*(AK47-20),0))))+IF(OR(AK47&lt;21, AI$3=4), 0, IF(AI$4=1, 'Vstupní hodnoty'!P$6, IF(Model!AI$4=2, 'Vstupní hodnoty'!P$5, IF(Model!AI$4=3, 'Vstupní hodnoty'!P$4, 0))))</f>
        <v>50752</v>
      </c>
      <c r="AP47">
        <f>IF($AI$7=1, 'Vstupní hodnoty'!J$4*(2/3)/30*Model!AK47, 0)</f>
        <v>0</v>
      </c>
      <c r="AQ47">
        <f>IF(Model!$AI$5&gt;12,'Vstupní hodnoty'!$H$8*Model!AK47,IF(Model!$AI$5&gt;9,'Vstupní hodnoty'!$H$7*Model!AK47,IF(Model!$AI$5&gt;6,'Vstupní hodnoty'!$H$6*Model!AK47,IF(Model!$AI$5&gt;3,'Vstupní hodnoty'!$H$5*Model!AK47,IF(Model!$AI$5&gt;1,'Vstupní hodnoty'!$H$4*Model!AK47,0)))))</f>
        <v>13878</v>
      </c>
      <c r="AR47" s="5">
        <f>AM47+AN47+AO47+AL47*'Vstupní hodnoty'!L$4+AQ47*'Vstupní hodnoty'!L$4+AP47*'Vstupní hodnoty'!L$4</f>
        <v>167209.89999999997</v>
      </c>
      <c r="AS47" s="5">
        <f t="shared" si="7"/>
        <v>3096.479629629629</v>
      </c>
      <c r="AX47" s="14">
        <v>54</v>
      </c>
      <c r="AY47" s="5">
        <f>INDEX('Vstupní hodnoty'!$A$4:$A$15, MATCH(Model!$AV$2,'Vstupní hodnoty'!$B$4:$B$15,0))/30*(AX47+1*AX47/7)</f>
        <v>73851.42857142858</v>
      </c>
      <c r="AZ47">
        <f t="shared" si="8"/>
        <v>0</v>
      </c>
      <c r="BA47">
        <f t="shared" si="9"/>
        <v>24000</v>
      </c>
      <c r="BB47" s="5">
        <f>IF(OR(AV$3=4,AV$4=4),0,'Roční bonus alt 2'!D46)+IF(OR(AX47&lt;21,AV$3=4,AV$4=4),0,IF(AV$3&lt;2,'Vstupní hodnoty'!O$6*'Vstupní hodnoty'!$A$17*(Model!AX47-20),IF(Model!AV$3&lt;3,'Vstupní hodnoty'!O$5*'Vstupní hodnoty'!$A$17*(Model!AX47-20),IF(Model!AV$3&lt;4,'Vstupní hodnoty'!O$4*'Vstupní hodnoty'!$A$17*(Model!AX47-20),0))))+IF(OR(AX47&lt;21,AV$3=4,AV$4=4),0,IF(AV$4=1,'Vstupní hodnoty'!P$6,IF(Model!AV$4=2,'Vstupní hodnoty'!P$5,IF(Model!AV$4=3,'Vstupní hodnoty'!P$4,0))))</f>
        <v>74325.333333333343</v>
      </c>
      <c r="BC47">
        <f>IF($AV$7=1, 'Vstupní hodnoty'!J$4*(2/3)/30*Model!AX47, 0)</f>
        <v>0</v>
      </c>
      <c r="BD47">
        <f>IF(Model!$AV$5&gt;12,'Vstupní hodnoty'!$Q$8*Model!AX47,IF(Model!$AV$5&gt;9,'Vstupní hodnoty'!$Q$7*Model!AX47,IF(Model!$AV$5&gt;6,'Vstupní hodnoty'!$Q$6*Model!AX47,IF(Model!$AV$5&gt;3,'Vstupní hodnoty'!$Q$5*Model!AX47,IF(Model!$AV$5&gt;1,'Vstupní hodnoty'!$Q$4*Model!AX47,0)))))</f>
        <v>16848</v>
      </c>
      <c r="BE47" s="5">
        <f>AZ47+BA47+BB47+AY47*'Vstupní hodnoty'!L$4+BD47*'Vstupní hodnoty'!L$4+BC47*'Vstupní hodnoty'!L$4</f>
        <v>175419.84761904762</v>
      </c>
      <c r="BF47" s="5">
        <f t="shared" si="10"/>
        <v>3248.5156966490299</v>
      </c>
    </row>
    <row r="48" spans="4:58" x14ac:dyDescent="0.2">
      <c r="D48" s="14">
        <v>55</v>
      </c>
      <c r="E48" s="5">
        <f>INDEX('Vstupní hodnoty'!$A$4:$A$15, MATCH(Model!$B$2,'Vstupní hodnoty'!$B$4:$B$15,0))/30*(D48+1*D48/7)</f>
        <v>75219.047619047618</v>
      </c>
      <c r="F48">
        <f t="shared" si="0"/>
        <v>0</v>
      </c>
      <c r="G48">
        <f t="shared" si="11"/>
        <v>24000</v>
      </c>
      <c r="H48">
        <f>IF(D48&lt;14, 0, IF(AND(D48&gt;20,$B$4&lt;3,$B$3&lt;2), 'Vstupní hodnoty'!K$6, IF(AND(D48&gt;20, $B$4&lt;3, $B$3&lt;4), 'Vstupní hodnoty'!$K$5, 'Vstupní hodnoty'!$K$4)))</f>
        <v>27000</v>
      </c>
      <c r="I48">
        <f>IF($B$7=1, 'Vstupní hodnoty'!J$4*(2/3)/30*Model!D48, 0)</f>
        <v>0</v>
      </c>
      <c r="J48">
        <f>IF(Model!$B$5&gt;12,'Vstupní hodnoty'!$H$8*Model!D48,IF(Model!$B$5&gt;9,'Vstupní hodnoty'!$H$7*Model!D48,IF(Model!$B$5&gt;6,'Vstupní hodnoty'!$H$6*Model!D48,IF(Model!$B$5&gt;3,'Vstupní hodnoty'!$H$5*Model!D48,IF(Model!$B$5&gt;1,'Vstupní hodnoty'!$H$4*Model!D48,0)))))</f>
        <v>9405</v>
      </c>
      <c r="K48" s="5">
        <f>F48+G48+H48+E48*'Vstupní hodnoty'!L$4+J48*'Vstupní hodnoty'!L$4+I48*'Vstupní hodnoty'!L$4</f>
        <v>122930.44047619047</v>
      </c>
      <c r="L48" s="5">
        <f t="shared" si="1"/>
        <v>2235.0989177489178</v>
      </c>
      <c r="X48" s="14">
        <v>55</v>
      </c>
      <c r="Y48" s="5">
        <f>INDEX('Vstupní hodnoty'!$A$4:$A$15, MATCH(Model!$V$2,'Vstupní hodnoty'!$B$4:$B$15,0))/30*(X48+1*X48/7)</f>
        <v>96653.333333333328</v>
      </c>
      <c r="Z48">
        <f t="shared" si="2"/>
        <v>0</v>
      </c>
      <c r="AA48">
        <f t="shared" si="3"/>
        <v>24000</v>
      </c>
      <c r="AB48">
        <f>IF(X48&lt;14, 0, IF(AND(X48&gt;20,$V$4&lt;3,$V$3&lt;2), 'Vstupní hodnoty'!$I$6, IF(AND(X48&gt;20, $V$4&lt;4, $V$3&lt;4), 'Vstupní hodnoty'!$I$5, 'Vstupní hodnoty'!$I$4)))</f>
        <v>27000</v>
      </c>
      <c r="AC48">
        <f>IF($V$7=1, 'Vstupní hodnoty'!$J$4*(2/3)/30*Model!X48, 0)</f>
        <v>0</v>
      </c>
      <c r="AD48">
        <f>IF(Model!$V$5&gt;12,'Vstupní hodnoty'!$H$8*Model!X48,IF(Model!$V$5&gt;9,'Vstupní hodnoty'!$H$7*Model!X48,IF(Model!$V$5&gt;6,'Vstupní hodnoty'!$H$6*Model!X48,IF(Model!$V$5&gt;3,'Vstupní hodnoty'!$H$5*Model!X48,IF(Model!$V$5&gt;1,'Vstupní hodnoty'!$H$4*Model!X48,0)))))</f>
        <v>14135</v>
      </c>
      <c r="AE48" s="5">
        <f>Z48+AA48+AB48+Y48*'Vstupní hodnoty'!L$4+AD48*'Vstupní hodnoty'!L$4+AC48*'Vstupní hodnoty'!L$4</f>
        <v>145170.08333333331</v>
      </c>
      <c r="AF48" s="5">
        <f t="shared" si="4"/>
        <v>2639.4560606060604</v>
      </c>
      <c r="AK48" s="14">
        <v>55</v>
      </c>
      <c r="AL48" s="5">
        <f>INDEX('Vstupní hodnoty'!$A$4:$A$15, MATCH(Model!$AI$2,'Vstupní hodnoty'!$B$4:$B$15,0))/30*(AK48+1*AK48/7)</f>
        <v>96653.333333333328</v>
      </c>
      <c r="AM48">
        <f t="shared" si="5"/>
        <v>0</v>
      </c>
      <c r="AN48">
        <f t="shared" si="6"/>
        <v>24000</v>
      </c>
      <c r="AO48">
        <f>IF(OR(AK48&lt;14, AI$3=4, AI$4=4),0,IF(AK48&lt;21,'Vstupní hodnoty'!N$4,IF(AK48&lt;28,'Vstupní hodnoty'!N$5,IF(AK48&lt;35,'Vstupní hodnoty'!N$6,'Vstupní hodnoty'!N$6))))+IF(OR(AK48&lt;21, AI$4=4),0,IF(AI$3&lt;2,'Vstupní hodnoty'!O$6*'Vstupní hodnoty'!$A$17*(AK48-20),IF(Model!AI$3&lt;3,'Vstupní hodnoty'!O$5*'Vstupní hodnoty'!$A$17*(AK48-20),IF(Model!AI$3&lt;4,'Vstupní hodnoty'!O$4*'Vstupní hodnoty'!$A$17*(AK48-20),0))))+IF(OR(AK48&lt;21, AI$3=4), 0, IF(AI$4=1, 'Vstupní hodnoty'!P$6, IF(Model!AI$4=2, 'Vstupní hodnoty'!P$5, IF(Model!AI$4=3, 'Vstupní hodnoty'!P$4, 0))))</f>
        <v>50960</v>
      </c>
      <c r="AP48">
        <f>IF($AI$7=1, 'Vstupní hodnoty'!J$4*(2/3)/30*Model!AK48, 0)</f>
        <v>0</v>
      </c>
      <c r="AQ48">
        <f>IF(Model!$AI$5&gt;12,'Vstupní hodnoty'!$H$8*Model!AK48,IF(Model!$AI$5&gt;9,'Vstupní hodnoty'!$H$7*Model!AK48,IF(Model!$AI$5&gt;6,'Vstupní hodnoty'!$H$6*Model!AK48,IF(Model!$AI$5&gt;3,'Vstupní hodnoty'!$H$5*Model!AK48,IF(Model!$AI$5&gt;1,'Vstupní hodnoty'!$H$4*Model!AK48,0)))))</f>
        <v>14135</v>
      </c>
      <c r="AR48" s="5">
        <f>AM48+AN48+AO48+AL48*'Vstupní hodnoty'!L$4+AQ48*'Vstupní hodnoty'!L$4+AP48*'Vstupní hodnoty'!L$4</f>
        <v>169130.08333333331</v>
      </c>
      <c r="AS48" s="5">
        <f t="shared" si="7"/>
        <v>3075.0924242424239</v>
      </c>
      <c r="AX48" s="14">
        <v>55</v>
      </c>
      <c r="AY48" s="5">
        <f>INDEX('Vstupní hodnoty'!$A$4:$A$15, MATCH(Model!$AV$2,'Vstupní hodnoty'!$B$4:$B$15,0))/30*(AX48+1*AX48/7)</f>
        <v>75219.047619047618</v>
      </c>
      <c r="AZ48">
        <f t="shared" si="8"/>
        <v>0</v>
      </c>
      <c r="BA48">
        <f t="shared" si="9"/>
        <v>24000</v>
      </c>
      <c r="BB48" s="5">
        <f>IF(OR(AV$3=4,AV$4=4),0,'Roční bonus alt 2'!D47)+IF(OR(AX48&lt;21,AV$3=4,AV$4=4),0,IF(AV$3&lt;2,'Vstupní hodnoty'!O$6*'Vstupní hodnoty'!$A$17*(Model!AX48-20),IF(Model!AV$3&lt;3,'Vstupní hodnoty'!O$5*'Vstupní hodnoty'!$A$17*(Model!AX48-20),IF(Model!AV$3&lt;4,'Vstupní hodnoty'!O$4*'Vstupní hodnoty'!$A$17*(Model!AX48-20),0))))+IF(OR(AX48&lt;21,AV$3=4,AV$4=4),0,IF(AV$4=1,'Vstupní hodnoty'!P$6,IF(Model!AV$4=2,'Vstupní hodnoty'!P$5,IF(Model!AV$4=3,'Vstupní hodnoty'!P$4,0))))</f>
        <v>75920</v>
      </c>
      <c r="BC48">
        <f>IF($AV$7=1, 'Vstupní hodnoty'!J$4*(2/3)/30*Model!AX48, 0)</f>
        <v>0</v>
      </c>
      <c r="BD48">
        <f>IF(Model!$AV$5&gt;12,'Vstupní hodnoty'!$Q$8*Model!AX48,IF(Model!$AV$5&gt;9,'Vstupní hodnoty'!$Q$7*Model!AX48,IF(Model!$AV$5&gt;6,'Vstupní hodnoty'!$Q$6*Model!AX48,IF(Model!$AV$5&gt;3,'Vstupní hodnoty'!$Q$5*Model!AX48,IF(Model!$AV$5&gt;1,'Vstupní hodnoty'!$Q$4*Model!AX48,0)))))</f>
        <v>17160</v>
      </c>
      <c r="BE48" s="5">
        <f>AZ48+BA48+BB48+AY48*'Vstupní hodnoty'!L$4+BD48*'Vstupní hodnoty'!L$4+BC48*'Vstupní hodnoty'!L$4</f>
        <v>178442.19047619047</v>
      </c>
      <c r="BF48" s="5">
        <f t="shared" si="10"/>
        <v>3244.4034632034632</v>
      </c>
    </row>
    <row r="49" spans="4:58" x14ac:dyDescent="0.2">
      <c r="D49" s="14">
        <v>56</v>
      </c>
      <c r="E49" s="5">
        <f>INDEX('Vstupní hodnoty'!$A$4:$A$15, MATCH(Model!$B$2,'Vstupní hodnoty'!$B$4:$B$15,0))/30*(D49+1*D49/7)</f>
        <v>76586.666666666672</v>
      </c>
      <c r="F49">
        <f t="shared" si="0"/>
        <v>0</v>
      </c>
      <c r="G49">
        <f t="shared" si="11"/>
        <v>24000</v>
      </c>
      <c r="H49">
        <f>IF(D49&lt;14, 0, IF(AND(D49&gt;20,$B$4&lt;3,$B$3&lt;2), 'Vstupní hodnoty'!K$6, IF(AND(D49&gt;20, $B$4&lt;3, $B$3&lt;4), 'Vstupní hodnoty'!$K$5, 'Vstupní hodnoty'!$K$4)))</f>
        <v>27000</v>
      </c>
      <c r="I49">
        <f>IF($B$7=1, 'Vstupní hodnoty'!J$4*(2/3)/30*Model!D49, 0)</f>
        <v>0</v>
      </c>
      <c r="J49">
        <f>IF(Model!$B$5&gt;12,'Vstupní hodnoty'!$H$8*Model!D49,IF(Model!$B$5&gt;9,'Vstupní hodnoty'!$H$7*Model!D49,IF(Model!$B$5&gt;6,'Vstupní hodnoty'!$H$6*Model!D49,IF(Model!$B$5&gt;3,'Vstupní hodnoty'!$H$5*Model!D49,IF(Model!$B$5&gt;1,'Vstupní hodnoty'!$H$4*Model!D49,0)))))</f>
        <v>9576</v>
      </c>
      <c r="K49" s="5">
        <f>F49+G49+H49+E49*'Vstupní hodnoty'!L$4+J49*'Vstupní hodnoty'!L$4+I49*'Vstupní hodnoty'!L$4</f>
        <v>124238.26666666668</v>
      </c>
      <c r="L49" s="5">
        <f t="shared" si="1"/>
        <v>2218.5404761904765</v>
      </c>
      <c r="X49" s="14">
        <v>56</v>
      </c>
      <c r="Y49" s="5">
        <f>INDEX('Vstupní hodnoty'!$A$4:$A$15, MATCH(Model!$V$2,'Vstupní hodnoty'!$B$4:$B$15,0))/30*(X49+1*X49/7)</f>
        <v>98410.666666666672</v>
      </c>
      <c r="Z49">
        <f t="shared" si="2"/>
        <v>0</v>
      </c>
      <c r="AA49">
        <f t="shared" si="3"/>
        <v>24000</v>
      </c>
      <c r="AB49">
        <f>IF(X49&lt;14, 0, IF(AND(X49&gt;20,$V$4&lt;3,$V$3&lt;2), 'Vstupní hodnoty'!$I$6, IF(AND(X49&gt;20, $V$4&lt;4, $V$3&lt;4), 'Vstupní hodnoty'!$I$5, 'Vstupní hodnoty'!$I$4)))</f>
        <v>27000</v>
      </c>
      <c r="AC49">
        <f>IF($V$7=1, 'Vstupní hodnoty'!$J$4*(2/3)/30*Model!X49, 0)</f>
        <v>0</v>
      </c>
      <c r="AD49">
        <f>IF(Model!$V$5&gt;12,'Vstupní hodnoty'!$H$8*Model!X49,IF(Model!$V$5&gt;9,'Vstupní hodnoty'!$H$7*Model!X49,IF(Model!$V$5&gt;6,'Vstupní hodnoty'!$H$6*Model!X49,IF(Model!$V$5&gt;3,'Vstupní hodnoty'!$H$5*Model!X49,IF(Model!$V$5&gt;1,'Vstupní hodnoty'!$H$4*Model!X49,0)))))</f>
        <v>14392</v>
      </c>
      <c r="AE49" s="5">
        <f>Z49+AA49+AB49+Y49*'Vstupní hodnoty'!L$4+AD49*'Vstupní hodnoty'!L$4+AC49*'Vstupní hodnoty'!L$4</f>
        <v>146882.26666666666</v>
      </c>
      <c r="AF49" s="5">
        <f t="shared" si="4"/>
        <v>2622.8976190476192</v>
      </c>
      <c r="AK49" s="14">
        <v>56</v>
      </c>
      <c r="AL49" s="5">
        <f>INDEX('Vstupní hodnoty'!$A$4:$A$15, MATCH(Model!$AI$2,'Vstupní hodnoty'!$B$4:$B$15,0))/30*(AK49+1*AK49/7)</f>
        <v>98410.666666666672</v>
      </c>
      <c r="AM49">
        <f t="shared" si="5"/>
        <v>0</v>
      </c>
      <c r="AN49">
        <f t="shared" si="6"/>
        <v>24000</v>
      </c>
      <c r="AO49">
        <f>IF(OR(AK49&lt;14, AI$3=4, AI$4=4),0,IF(AK49&lt;21,'Vstupní hodnoty'!N$4,IF(AK49&lt;28,'Vstupní hodnoty'!N$5,IF(AK49&lt;35,'Vstupní hodnoty'!N$6,'Vstupní hodnoty'!N$6))))+IF(OR(AK49&lt;21, AI$4=4),0,IF(AI$3&lt;2,'Vstupní hodnoty'!O$6*'Vstupní hodnoty'!$A$17*(AK49-20),IF(Model!AI$3&lt;3,'Vstupní hodnoty'!O$5*'Vstupní hodnoty'!$A$17*(AK49-20),IF(Model!AI$3&lt;4,'Vstupní hodnoty'!O$4*'Vstupní hodnoty'!$A$17*(AK49-20),0))))+IF(OR(AK49&lt;21, AI$3=4), 0, IF(AI$4=1, 'Vstupní hodnoty'!P$6, IF(Model!AI$4=2, 'Vstupní hodnoty'!P$5, IF(Model!AI$4=3, 'Vstupní hodnoty'!P$4, 0))))</f>
        <v>51168</v>
      </c>
      <c r="AP49">
        <f>IF($AI$7=1, 'Vstupní hodnoty'!J$4*(2/3)/30*Model!AK49, 0)</f>
        <v>0</v>
      </c>
      <c r="AQ49">
        <f>IF(Model!$AI$5&gt;12,'Vstupní hodnoty'!$H$8*Model!AK49,IF(Model!$AI$5&gt;9,'Vstupní hodnoty'!$H$7*Model!AK49,IF(Model!$AI$5&gt;6,'Vstupní hodnoty'!$H$6*Model!AK49,IF(Model!$AI$5&gt;3,'Vstupní hodnoty'!$H$5*Model!AK49,IF(Model!$AI$5&gt;1,'Vstupní hodnoty'!$H$4*Model!AK49,0)))))</f>
        <v>14392</v>
      </c>
      <c r="AR49" s="5">
        <f>AM49+AN49+AO49+AL49*'Vstupní hodnoty'!L$4+AQ49*'Vstupní hodnoty'!L$4+AP49*'Vstupní hodnoty'!L$4</f>
        <v>171050.26666666666</v>
      </c>
      <c r="AS49" s="5">
        <f t="shared" si="7"/>
        <v>3054.4690476190476</v>
      </c>
      <c r="AX49" s="14">
        <v>56</v>
      </c>
      <c r="AY49" s="5">
        <f>INDEX('Vstupní hodnoty'!$A$4:$A$15, MATCH(Model!$AV$2,'Vstupní hodnoty'!$B$4:$B$15,0))/30*(AX49+1*AX49/7)</f>
        <v>76586.666666666672</v>
      </c>
      <c r="AZ49">
        <f t="shared" si="8"/>
        <v>0</v>
      </c>
      <c r="BA49">
        <f t="shared" si="9"/>
        <v>24000</v>
      </c>
      <c r="BB49" s="5">
        <f>IF(OR(AV$3=4,AV$4=4),0,'Roční bonus alt 2'!D48)+IF(OR(AX49&lt;21,AV$3=4,AV$4=4),0,IF(AV$3&lt;2,'Vstupní hodnoty'!O$6*'Vstupní hodnoty'!$A$17*(Model!AX49-20),IF(Model!AV$3&lt;3,'Vstupní hodnoty'!O$5*'Vstupní hodnoty'!$A$17*(Model!AX49-20),IF(Model!AV$3&lt;4,'Vstupní hodnoty'!O$4*'Vstupní hodnoty'!$A$17*(Model!AX49-20),0))))+IF(OR(AX49&lt;21,AV$3=4,AV$4=4),0,IF(AV$4=1,'Vstupní hodnoty'!P$6,IF(Model!AV$4=2,'Vstupní hodnoty'!P$5,IF(Model!AV$4=3,'Vstupní hodnoty'!P$4,0))))</f>
        <v>77514.666666666657</v>
      </c>
      <c r="BC49">
        <f>IF($AV$7=1, 'Vstupní hodnoty'!J$4*(2/3)/30*Model!AX49, 0)</f>
        <v>0</v>
      </c>
      <c r="BD49">
        <f>IF(Model!$AV$5&gt;12,'Vstupní hodnoty'!$Q$8*Model!AX49,IF(Model!$AV$5&gt;9,'Vstupní hodnoty'!$Q$7*Model!AX49,IF(Model!$AV$5&gt;6,'Vstupní hodnoty'!$Q$6*Model!AX49,IF(Model!$AV$5&gt;3,'Vstupní hodnoty'!$Q$5*Model!AX49,IF(Model!$AV$5&gt;1,'Vstupní hodnoty'!$Q$4*Model!AX49,0)))))</f>
        <v>17472</v>
      </c>
      <c r="BE49" s="5">
        <f>AZ49+BA49+BB49+AY49*'Vstupní hodnoty'!L$4+BD49*'Vstupní hodnoty'!L$4+BC49*'Vstupní hodnoty'!L$4</f>
        <v>181464.53333333333</v>
      </c>
      <c r="BF49" s="5">
        <f t="shared" si="10"/>
        <v>3240.4380952380952</v>
      </c>
    </row>
    <row r="50" spans="4:58" x14ac:dyDescent="0.2">
      <c r="D50" s="14">
        <v>57</v>
      </c>
      <c r="E50" s="5">
        <f>INDEX('Vstupní hodnoty'!$A$4:$A$15, MATCH(Model!$B$2,'Vstupní hodnoty'!$B$4:$B$15,0))/30*(D50+1*D50/7)</f>
        <v>77954.28571428571</v>
      </c>
      <c r="F50">
        <f t="shared" si="0"/>
        <v>0</v>
      </c>
      <c r="G50">
        <f t="shared" si="11"/>
        <v>24000</v>
      </c>
      <c r="H50">
        <f>IF(D50&lt;14, 0, IF(AND(D50&gt;20,$B$4&lt;3,$B$3&lt;2), 'Vstupní hodnoty'!K$6, IF(AND(D50&gt;20, $B$4&lt;3, $B$3&lt;4), 'Vstupní hodnoty'!$K$5, 'Vstupní hodnoty'!$K$4)))</f>
        <v>27000</v>
      </c>
      <c r="I50">
        <f>IF($B$7=1, 'Vstupní hodnoty'!J$4*(2/3)/30*Model!D50, 0)</f>
        <v>0</v>
      </c>
      <c r="J50">
        <f>IF(Model!$B$5&gt;12,'Vstupní hodnoty'!$H$8*Model!D50,IF(Model!$B$5&gt;9,'Vstupní hodnoty'!$H$7*Model!D50,IF(Model!$B$5&gt;6,'Vstupní hodnoty'!$H$6*Model!D50,IF(Model!$B$5&gt;3,'Vstupní hodnoty'!$H$5*Model!D50,IF(Model!$B$5&gt;1,'Vstupní hodnoty'!$H$4*Model!D50,0)))))</f>
        <v>9747</v>
      </c>
      <c r="K50" s="5">
        <f>F50+G50+H50+E50*'Vstupní hodnoty'!L$4+J50*'Vstupní hodnoty'!L$4+I50*'Vstupní hodnoty'!L$4</f>
        <v>125546.09285714285</v>
      </c>
      <c r="L50" s="5">
        <f t="shared" si="1"/>
        <v>2202.5630325814536</v>
      </c>
      <c r="X50" s="14">
        <v>57</v>
      </c>
      <c r="Y50" s="5">
        <f>INDEX('Vstupní hodnoty'!$A$4:$A$15, MATCH(Model!$V$2,'Vstupní hodnoty'!$B$4:$B$15,0))/30*(X50+1*X50/7)</f>
        <v>100168</v>
      </c>
      <c r="Z50">
        <f t="shared" si="2"/>
        <v>0</v>
      </c>
      <c r="AA50">
        <f t="shared" si="3"/>
        <v>24000</v>
      </c>
      <c r="AB50">
        <f>IF(X50&lt;14, 0, IF(AND(X50&gt;20,$V$4&lt;3,$V$3&lt;2), 'Vstupní hodnoty'!$I$6, IF(AND(X50&gt;20, $V$4&lt;4, $V$3&lt;4), 'Vstupní hodnoty'!$I$5, 'Vstupní hodnoty'!$I$4)))</f>
        <v>27000</v>
      </c>
      <c r="AC50">
        <f>IF($V$7=1, 'Vstupní hodnoty'!$J$4*(2/3)/30*Model!X50, 0)</f>
        <v>0</v>
      </c>
      <c r="AD50">
        <f>IF(Model!$V$5&gt;12,'Vstupní hodnoty'!$H$8*Model!X50,IF(Model!$V$5&gt;9,'Vstupní hodnoty'!$H$7*Model!X50,IF(Model!$V$5&gt;6,'Vstupní hodnoty'!$H$6*Model!X50,IF(Model!$V$5&gt;3,'Vstupní hodnoty'!$H$5*Model!X50,IF(Model!$V$5&gt;1,'Vstupní hodnoty'!$H$4*Model!X50,0)))))</f>
        <v>14649</v>
      </c>
      <c r="AE50" s="5">
        <f>Z50+AA50+AB50+Y50*'Vstupní hodnoty'!L$4+AD50*'Vstupní hodnoty'!L$4+AC50*'Vstupní hodnoty'!L$4</f>
        <v>148594.44999999998</v>
      </c>
      <c r="AF50" s="5">
        <f t="shared" si="4"/>
        <v>2606.9201754385963</v>
      </c>
      <c r="AK50" s="14">
        <v>57</v>
      </c>
      <c r="AL50" s="5">
        <f>INDEX('Vstupní hodnoty'!$A$4:$A$15, MATCH(Model!$AI$2,'Vstupní hodnoty'!$B$4:$B$15,0))/30*(AK50+1*AK50/7)</f>
        <v>100168</v>
      </c>
      <c r="AM50">
        <f t="shared" si="5"/>
        <v>0</v>
      </c>
      <c r="AN50">
        <f t="shared" si="6"/>
        <v>24000</v>
      </c>
      <c r="AO50">
        <f>IF(OR(AK50&lt;14, AI$3=4, AI$4=4),0,IF(AK50&lt;21,'Vstupní hodnoty'!N$4,IF(AK50&lt;28,'Vstupní hodnoty'!N$5,IF(AK50&lt;35,'Vstupní hodnoty'!N$6,'Vstupní hodnoty'!N$6))))+IF(OR(AK50&lt;21, AI$4=4),0,IF(AI$3&lt;2,'Vstupní hodnoty'!O$6*'Vstupní hodnoty'!$A$17*(AK50-20),IF(Model!AI$3&lt;3,'Vstupní hodnoty'!O$5*'Vstupní hodnoty'!$A$17*(AK50-20),IF(Model!AI$3&lt;4,'Vstupní hodnoty'!O$4*'Vstupní hodnoty'!$A$17*(AK50-20),0))))+IF(OR(AK50&lt;21, AI$3=4), 0, IF(AI$4=1, 'Vstupní hodnoty'!P$6, IF(Model!AI$4=2, 'Vstupní hodnoty'!P$5, IF(Model!AI$4=3, 'Vstupní hodnoty'!P$4, 0))))</f>
        <v>51376</v>
      </c>
      <c r="AP50">
        <f>IF($AI$7=1, 'Vstupní hodnoty'!J$4*(2/3)/30*Model!AK50, 0)</f>
        <v>0</v>
      </c>
      <c r="AQ50">
        <f>IF(Model!$AI$5&gt;12,'Vstupní hodnoty'!$H$8*Model!AK50,IF(Model!$AI$5&gt;9,'Vstupní hodnoty'!$H$7*Model!AK50,IF(Model!$AI$5&gt;6,'Vstupní hodnoty'!$H$6*Model!AK50,IF(Model!$AI$5&gt;3,'Vstupní hodnoty'!$H$5*Model!AK50,IF(Model!$AI$5&gt;1,'Vstupní hodnoty'!$H$4*Model!AK50,0)))))</f>
        <v>14649</v>
      </c>
      <c r="AR50" s="5">
        <f>AM50+AN50+AO50+AL50*'Vstupní hodnoty'!L$4+AQ50*'Vstupní hodnoty'!L$4+AP50*'Vstupní hodnoty'!L$4</f>
        <v>172970.44999999998</v>
      </c>
      <c r="AS50" s="5">
        <f t="shared" si="7"/>
        <v>3034.5692982456139</v>
      </c>
      <c r="AX50" s="14">
        <v>57</v>
      </c>
      <c r="AY50" s="5">
        <f>INDEX('Vstupní hodnoty'!$A$4:$A$15, MATCH(Model!$AV$2,'Vstupní hodnoty'!$B$4:$B$15,0))/30*(AX50+1*AX50/7)</f>
        <v>77954.28571428571</v>
      </c>
      <c r="AZ50">
        <f t="shared" si="8"/>
        <v>0</v>
      </c>
      <c r="BA50">
        <f t="shared" si="9"/>
        <v>24000</v>
      </c>
      <c r="BB50" s="5">
        <f>IF(OR(AV$3=4,AV$4=4),0,'Roční bonus alt 2'!D49)+IF(OR(AX50&lt;21,AV$3=4,AV$4=4),0,IF(AV$3&lt;2,'Vstupní hodnoty'!O$6*'Vstupní hodnoty'!$A$17*(Model!AX50-20),IF(Model!AV$3&lt;3,'Vstupní hodnoty'!O$5*'Vstupní hodnoty'!$A$17*(Model!AX50-20),IF(Model!AV$3&lt;4,'Vstupní hodnoty'!O$4*'Vstupní hodnoty'!$A$17*(Model!AX50-20),0))))+IF(OR(AX50&lt;21,AV$3=4,AV$4=4),0,IF(AV$4=1,'Vstupní hodnoty'!P$6,IF(Model!AV$4=2,'Vstupní hodnoty'!P$5,IF(Model!AV$4=3,'Vstupní hodnoty'!P$4,0))))</f>
        <v>79109.333333333343</v>
      </c>
      <c r="BC50">
        <f>IF($AV$7=1, 'Vstupní hodnoty'!J$4*(2/3)/30*Model!AX50, 0)</f>
        <v>0</v>
      </c>
      <c r="BD50">
        <f>IF(Model!$AV$5&gt;12,'Vstupní hodnoty'!$Q$8*Model!AX50,IF(Model!$AV$5&gt;9,'Vstupní hodnoty'!$Q$7*Model!AX50,IF(Model!$AV$5&gt;6,'Vstupní hodnoty'!$Q$6*Model!AX50,IF(Model!$AV$5&gt;3,'Vstupní hodnoty'!$Q$5*Model!AX50,IF(Model!$AV$5&gt;1,'Vstupní hodnoty'!$Q$4*Model!AX50,0)))))</f>
        <v>17784</v>
      </c>
      <c r="BE50" s="5">
        <f>AZ50+BA50+BB50+AY50*'Vstupní hodnoty'!L$4+BD50*'Vstupní hodnoty'!L$4+BC50*'Vstupní hodnoty'!L$4</f>
        <v>184486.87619047621</v>
      </c>
      <c r="BF50" s="5">
        <f t="shared" si="10"/>
        <v>3236.6118629908106</v>
      </c>
    </row>
    <row r="51" spans="4:58" x14ac:dyDescent="0.2">
      <c r="D51" s="14">
        <v>58</v>
      </c>
      <c r="E51" s="5">
        <f>INDEX('Vstupní hodnoty'!$A$4:$A$15, MATCH(Model!$B$2,'Vstupní hodnoty'!$B$4:$B$15,0))/30*(D51+1*D51/7)</f>
        <v>79321.904761904778</v>
      </c>
      <c r="F51">
        <f t="shared" si="0"/>
        <v>0</v>
      </c>
      <c r="G51">
        <f t="shared" si="11"/>
        <v>24000</v>
      </c>
      <c r="H51">
        <f>IF(D51&lt;14, 0, IF(AND(D51&gt;20,$B$4&lt;3,$B$3&lt;2), 'Vstupní hodnoty'!K$6, IF(AND(D51&gt;20, $B$4&lt;3, $B$3&lt;4), 'Vstupní hodnoty'!$K$5, 'Vstupní hodnoty'!$K$4)))</f>
        <v>27000</v>
      </c>
      <c r="I51">
        <f>IF($B$7=1, 'Vstupní hodnoty'!J$4*(2/3)/30*Model!D51, 0)</f>
        <v>0</v>
      </c>
      <c r="J51">
        <f>IF(Model!$B$5&gt;12,'Vstupní hodnoty'!$H$8*Model!D51,IF(Model!$B$5&gt;9,'Vstupní hodnoty'!$H$7*Model!D51,IF(Model!$B$5&gt;6,'Vstupní hodnoty'!$H$6*Model!D51,IF(Model!$B$5&gt;3,'Vstupní hodnoty'!$H$5*Model!D51,IF(Model!$B$5&gt;1,'Vstupní hodnoty'!$H$4*Model!D51,0)))))</f>
        <v>9918</v>
      </c>
      <c r="K51" s="5">
        <f>F51+G51+H51+E51*'Vstupní hodnoty'!L$4+J51*'Vstupní hodnoty'!L$4+I51*'Vstupní hodnoty'!L$4</f>
        <v>126853.91904761906</v>
      </c>
      <c r="L51" s="5">
        <f t="shared" si="1"/>
        <v>2187.1365353037768</v>
      </c>
      <c r="X51" s="14">
        <v>58</v>
      </c>
      <c r="Y51" s="5">
        <f>INDEX('Vstupní hodnoty'!$A$4:$A$15, MATCH(Model!$V$2,'Vstupní hodnoty'!$B$4:$B$15,0))/30*(X51+1*X51/7)</f>
        <v>101925.33333333334</v>
      </c>
      <c r="Z51">
        <f t="shared" si="2"/>
        <v>0</v>
      </c>
      <c r="AA51">
        <f t="shared" si="3"/>
        <v>24000</v>
      </c>
      <c r="AB51">
        <f>IF(X51&lt;14, 0, IF(AND(X51&gt;20,$V$4&lt;3,$V$3&lt;2), 'Vstupní hodnoty'!$I$6, IF(AND(X51&gt;20, $V$4&lt;4, $V$3&lt;4), 'Vstupní hodnoty'!$I$5, 'Vstupní hodnoty'!$I$4)))</f>
        <v>27000</v>
      </c>
      <c r="AC51">
        <f>IF($V$7=1, 'Vstupní hodnoty'!$J$4*(2/3)/30*Model!X51, 0)</f>
        <v>0</v>
      </c>
      <c r="AD51">
        <f>IF(Model!$V$5&gt;12,'Vstupní hodnoty'!$H$8*Model!X51,IF(Model!$V$5&gt;9,'Vstupní hodnoty'!$H$7*Model!X51,IF(Model!$V$5&gt;6,'Vstupní hodnoty'!$H$6*Model!X51,IF(Model!$V$5&gt;3,'Vstupní hodnoty'!$H$5*Model!X51,IF(Model!$V$5&gt;1,'Vstupní hodnoty'!$H$4*Model!X51,0)))))</f>
        <v>14906</v>
      </c>
      <c r="AE51" s="5">
        <f>Z51+AA51+AB51+Y51*'Vstupní hodnoty'!L$4+AD51*'Vstupní hodnoty'!L$4+AC51*'Vstupní hodnoty'!L$4</f>
        <v>150306.63333333333</v>
      </c>
      <c r="AF51" s="5">
        <f t="shared" si="4"/>
        <v>2591.4936781609194</v>
      </c>
      <c r="AK51" s="14">
        <v>58</v>
      </c>
      <c r="AL51" s="5">
        <f>INDEX('Vstupní hodnoty'!$A$4:$A$15, MATCH(Model!$AI$2,'Vstupní hodnoty'!$B$4:$B$15,0))/30*(AK51+1*AK51/7)</f>
        <v>101925.33333333334</v>
      </c>
      <c r="AM51">
        <f t="shared" si="5"/>
        <v>0</v>
      </c>
      <c r="AN51">
        <f t="shared" si="6"/>
        <v>24000</v>
      </c>
      <c r="AO51">
        <f>IF(OR(AK51&lt;14, AI$3=4, AI$4=4),0,IF(AK51&lt;21,'Vstupní hodnoty'!N$4,IF(AK51&lt;28,'Vstupní hodnoty'!N$5,IF(AK51&lt;35,'Vstupní hodnoty'!N$6,'Vstupní hodnoty'!N$6))))+IF(OR(AK51&lt;21, AI$4=4),0,IF(AI$3&lt;2,'Vstupní hodnoty'!O$6*'Vstupní hodnoty'!$A$17*(AK51-20),IF(Model!AI$3&lt;3,'Vstupní hodnoty'!O$5*'Vstupní hodnoty'!$A$17*(AK51-20),IF(Model!AI$3&lt;4,'Vstupní hodnoty'!O$4*'Vstupní hodnoty'!$A$17*(AK51-20),0))))+IF(OR(AK51&lt;21, AI$3=4), 0, IF(AI$4=1, 'Vstupní hodnoty'!P$6, IF(Model!AI$4=2, 'Vstupní hodnoty'!P$5, IF(Model!AI$4=3, 'Vstupní hodnoty'!P$4, 0))))</f>
        <v>51584</v>
      </c>
      <c r="AP51">
        <f>IF($AI$7=1, 'Vstupní hodnoty'!J$4*(2/3)/30*Model!AK51, 0)</f>
        <v>0</v>
      </c>
      <c r="AQ51">
        <f>IF(Model!$AI$5&gt;12,'Vstupní hodnoty'!$H$8*Model!AK51,IF(Model!$AI$5&gt;9,'Vstupní hodnoty'!$H$7*Model!AK51,IF(Model!$AI$5&gt;6,'Vstupní hodnoty'!$H$6*Model!AK51,IF(Model!$AI$5&gt;3,'Vstupní hodnoty'!$H$5*Model!AK51,IF(Model!$AI$5&gt;1,'Vstupní hodnoty'!$H$4*Model!AK51,0)))))</f>
        <v>14906</v>
      </c>
      <c r="AR51" s="5">
        <f>AM51+AN51+AO51+AL51*'Vstupní hodnoty'!L$4+AQ51*'Vstupní hodnoty'!L$4+AP51*'Vstupní hodnoty'!L$4</f>
        <v>174890.63333333333</v>
      </c>
      <c r="AS51" s="5">
        <f t="shared" si="7"/>
        <v>3015.3557471264367</v>
      </c>
      <c r="AX51" s="14">
        <v>58</v>
      </c>
      <c r="AY51" s="5">
        <f>INDEX('Vstupní hodnoty'!$A$4:$A$15, MATCH(Model!$AV$2,'Vstupní hodnoty'!$B$4:$B$15,0))/30*(AX51+1*AX51/7)</f>
        <v>79321.904761904778</v>
      </c>
      <c r="AZ51">
        <f t="shared" si="8"/>
        <v>0</v>
      </c>
      <c r="BA51">
        <f t="shared" si="9"/>
        <v>24000</v>
      </c>
      <c r="BB51" s="5">
        <f>IF(OR(AV$3=4,AV$4=4),0,'Roční bonus alt 2'!D50)+IF(OR(AX51&lt;21,AV$3=4,AV$4=4),0,IF(AV$3&lt;2,'Vstupní hodnoty'!O$6*'Vstupní hodnoty'!$A$17*(Model!AX51-20),IF(Model!AV$3&lt;3,'Vstupní hodnoty'!O$5*'Vstupní hodnoty'!$A$17*(Model!AX51-20),IF(Model!AV$3&lt;4,'Vstupní hodnoty'!O$4*'Vstupní hodnoty'!$A$17*(Model!AX51-20),0))))+IF(OR(AX51&lt;21,AV$3=4,AV$4=4),0,IF(AV$4=1,'Vstupní hodnoty'!P$6,IF(Model!AV$4=2,'Vstupní hodnoty'!P$5,IF(Model!AV$4=3,'Vstupní hodnoty'!P$4,0))))</f>
        <v>80704</v>
      </c>
      <c r="BC51">
        <f>IF($AV$7=1, 'Vstupní hodnoty'!J$4*(2/3)/30*Model!AX51, 0)</f>
        <v>0</v>
      </c>
      <c r="BD51">
        <f>IF(Model!$AV$5&gt;12,'Vstupní hodnoty'!$Q$8*Model!AX51,IF(Model!$AV$5&gt;9,'Vstupní hodnoty'!$Q$7*Model!AX51,IF(Model!$AV$5&gt;6,'Vstupní hodnoty'!$Q$6*Model!AX51,IF(Model!$AV$5&gt;3,'Vstupní hodnoty'!$Q$5*Model!AX51,IF(Model!$AV$5&gt;1,'Vstupní hodnoty'!$Q$4*Model!AX51,0)))))</f>
        <v>18096</v>
      </c>
      <c r="BE51" s="5">
        <f>AZ51+BA51+BB51+AY51*'Vstupní hodnoty'!L$4+BD51*'Vstupní hodnoty'!L$4+BC51*'Vstupní hodnoty'!L$4</f>
        <v>187509.21904761906</v>
      </c>
      <c r="BF51" s="5">
        <f t="shared" si="10"/>
        <v>3232.9175697865353</v>
      </c>
    </row>
    <row r="52" spans="4:58" x14ac:dyDescent="0.2">
      <c r="D52" s="14">
        <v>59</v>
      </c>
      <c r="E52" s="5">
        <f>INDEX('Vstupní hodnoty'!$A$4:$A$15, MATCH(Model!$B$2,'Vstupní hodnoty'!$B$4:$B$15,0))/30*(D52+1*D52/7)</f>
        <v>80689.523809523816</v>
      </c>
      <c r="F52">
        <f t="shared" si="0"/>
        <v>0</v>
      </c>
      <c r="G52">
        <f t="shared" si="11"/>
        <v>24000</v>
      </c>
      <c r="H52">
        <f>IF(D52&lt;14, 0, IF(AND(D52&gt;20,$B$4&lt;3,$B$3&lt;2), 'Vstupní hodnoty'!K$6, IF(AND(D52&gt;20, $B$4&lt;3, $B$3&lt;4), 'Vstupní hodnoty'!$K$5, 'Vstupní hodnoty'!$K$4)))</f>
        <v>27000</v>
      </c>
      <c r="I52">
        <f>IF($B$7=1, 'Vstupní hodnoty'!J$4*(2/3)/30*Model!D52, 0)</f>
        <v>0</v>
      </c>
      <c r="J52">
        <f>IF(Model!$B$5&gt;12,'Vstupní hodnoty'!$H$8*Model!D52,IF(Model!$B$5&gt;9,'Vstupní hodnoty'!$H$7*Model!D52,IF(Model!$B$5&gt;6,'Vstupní hodnoty'!$H$6*Model!D52,IF(Model!$B$5&gt;3,'Vstupní hodnoty'!$H$5*Model!D52,IF(Model!$B$5&gt;1,'Vstupní hodnoty'!$H$4*Model!D52,0)))))</f>
        <v>10089</v>
      </c>
      <c r="K52" s="5">
        <f>F52+G52+H52+E52*'Vstupní hodnoty'!L$4+J52*'Vstupní hodnoty'!L$4+I52*'Vstupní hodnoty'!L$4</f>
        <v>128161.74523809523</v>
      </c>
      <c r="L52" s="5">
        <f t="shared" si="1"/>
        <v>2172.2329701372073</v>
      </c>
      <c r="X52" s="14">
        <v>59</v>
      </c>
      <c r="Y52" s="5">
        <f>INDEX('Vstupní hodnoty'!$A$4:$A$15, MATCH(Model!$V$2,'Vstupní hodnoty'!$B$4:$B$15,0))/30*(X52+1*X52/7)</f>
        <v>103682.66666666667</v>
      </c>
      <c r="Z52">
        <f t="shared" si="2"/>
        <v>0</v>
      </c>
      <c r="AA52">
        <f t="shared" si="3"/>
        <v>24000</v>
      </c>
      <c r="AB52">
        <f>IF(X52&lt;14, 0, IF(AND(X52&gt;20,$V$4&lt;3,$V$3&lt;2), 'Vstupní hodnoty'!$I$6, IF(AND(X52&gt;20, $V$4&lt;4, $V$3&lt;4), 'Vstupní hodnoty'!$I$5, 'Vstupní hodnoty'!$I$4)))</f>
        <v>27000</v>
      </c>
      <c r="AC52">
        <f>IF($V$7=1, 'Vstupní hodnoty'!$J$4*(2/3)/30*Model!X52, 0)</f>
        <v>0</v>
      </c>
      <c r="AD52">
        <f>IF(Model!$V$5&gt;12,'Vstupní hodnoty'!$H$8*Model!X52,IF(Model!$V$5&gt;9,'Vstupní hodnoty'!$H$7*Model!X52,IF(Model!$V$5&gt;6,'Vstupní hodnoty'!$H$6*Model!X52,IF(Model!$V$5&gt;3,'Vstupní hodnoty'!$H$5*Model!X52,IF(Model!$V$5&gt;1,'Vstupní hodnoty'!$H$4*Model!X52,0)))))</f>
        <v>15163</v>
      </c>
      <c r="AE52" s="5">
        <f>Z52+AA52+AB52+Y52*'Vstupní hodnoty'!L$4+AD52*'Vstupní hodnoty'!L$4+AC52*'Vstupní hodnoty'!L$4</f>
        <v>152018.81666666665</v>
      </c>
      <c r="AF52" s="5">
        <f t="shared" si="4"/>
        <v>2576.59011299435</v>
      </c>
      <c r="AK52" s="14">
        <v>59</v>
      </c>
      <c r="AL52" s="5">
        <f>INDEX('Vstupní hodnoty'!$A$4:$A$15, MATCH(Model!$AI$2,'Vstupní hodnoty'!$B$4:$B$15,0))/30*(AK52+1*AK52/7)</f>
        <v>103682.66666666667</v>
      </c>
      <c r="AM52">
        <f t="shared" si="5"/>
        <v>0</v>
      </c>
      <c r="AN52">
        <f t="shared" si="6"/>
        <v>24000</v>
      </c>
      <c r="AO52">
        <f>IF(OR(AK52&lt;14, AI$3=4, AI$4=4),0,IF(AK52&lt;21,'Vstupní hodnoty'!N$4,IF(AK52&lt;28,'Vstupní hodnoty'!N$5,IF(AK52&lt;35,'Vstupní hodnoty'!N$6,'Vstupní hodnoty'!N$6))))+IF(OR(AK52&lt;21, AI$4=4),0,IF(AI$3&lt;2,'Vstupní hodnoty'!O$6*'Vstupní hodnoty'!$A$17*(AK52-20),IF(Model!AI$3&lt;3,'Vstupní hodnoty'!O$5*'Vstupní hodnoty'!$A$17*(AK52-20),IF(Model!AI$3&lt;4,'Vstupní hodnoty'!O$4*'Vstupní hodnoty'!$A$17*(AK52-20),0))))+IF(OR(AK52&lt;21, AI$3=4), 0, IF(AI$4=1, 'Vstupní hodnoty'!P$6, IF(Model!AI$4=2, 'Vstupní hodnoty'!P$5, IF(Model!AI$4=3, 'Vstupní hodnoty'!P$4, 0))))</f>
        <v>51792</v>
      </c>
      <c r="AP52">
        <f>IF($AI$7=1, 'Vstupní hodnoty'!J$4*(2/3)/30*Model!AK52, 0)</f>
        <v>0</v>
      </c>
      <c r="AQ52">
        <f>IF(Model!$AI$5&gt;12,'Vstupní hodnoty'!$H$8*Model!AK52,IF(Model!$AI$5&gt;9,'Vstupní hodnoty'!$H$7*Model!AK52,IF(Model!$AI$5&gt;6,'Vstupní hodnoty'!$H$6*Model!AK52,IF(Model!$AI$5&gt;3,'Vstupní hodnoty'!$H$5*Model!AK52,IF(Model!$AI$5&gt;1,'Vstupní hodnoty'!$H$4*Model!AK52,0)))))</f>
        <v>15163</v>
      </c>
      <c r="AR52" s="5">
        <f>AM52+AN52+AO52+AL52*'Vstupní hodnoty'!L$4+AQ52*'Vstupní hodnoty'!L$4+AP52*'Vstupní hodnoty'!L$4</f>
        <v>176810.81666666665</v>
      </c>
      <c r="AS52" s="5">
        <f t="shared" si="7"/>
        <v>2996.7935028248585</v>
      </c>
      <c r="AX52" s="14">
        <v>59</v>
      </c>
      <c r="AY52" s="5">
        <f>INDEX('Vstupní hodnoty'!$A$4:$A$15, MATCH(Model!$AV$2,'Vstupní hodnoty'!$B$4:$B$15,0))/30*(AX52+1*AX52/7)</f>
        <v>80689.523809523816</v>
      </c>
      <c r="AZ52">
        <f t="shared" si="8"/>
        <v>0</v>
      </c>
      <c r="BA52">
        <f t="shared" si="9"/>
        <v>24000</v>
      </c>
      <c r="BB52" s="5">
        <f>IF(OR(AV$3=4,AV$4=4),0,'Roční bonus alt 2'!D51)+IF(OR(AX52&lt;21,AV$3=4,AV$4=4),0,IF(AV$3&lt;2,'Vstupní hodnoty'!O$6*'Vstupní hodnoty'!$A$17*(Model!AX52-20),IF(Model!AV$3&lt;3,'Vstupní hodnoty'!O$5*'Vstupní hodnoty'!$A$17*(Model!AX52-20),IF(Model!AV$3&lt;4,'Vstupní hodnoty'!O$4*'Vstupní hodnoty'!$A$17*(Model!AX52-20),0))))+IF(OR(AX52&lt;21,AV$3=4,AV$4=4),0,IF(AV$4=1,'Vstupní hodnoty'!P$6,IF(Model!AV$4=2,'Vstupní hodnoty'!P$5,IF(Model!AV$4=3,'Vstupní hodnoty'!P$4,0))))</f>
        <v>82298.666666666672</v>
      </c>
      <c r="BC52">
        <f>IF($AV$7=1, 'Vstupní hodnoty'!J$4*(2/3)/30*Model!AX52, 0)</f>
        <v>0</v>
      </c>
      <c r="BD52">
        <f>IF(Model!$AV$5&gt;12,'Vstupní hodnoty'!$Q$8*Model!AX52,IF(Model!$AV$5&gt;9,'Vstupní hodnoty'!$Q$7*Model!AX52,IF(Model!$AV$5&gt;6,'Vstupní hodnoty'!$Q$6*Model!AX52,IF(Model!$AV$5&gt;3,'Vstupní hodnoty'!$Q$5*Model!AX52,IF(Model!$AV$5&gt;1,'Vstupní hodnoty'!$Q$4*Model!AX52,0)))))</f>
        <v>18408</v>
      </c>
      <c r="BE52" s="5">
        <f>AZ52+BA52+BB52+AY52*'Vstupní hodnoty'!L$4+BD52*'Vstupní hodnoty'!L$4+BC52*'Vstupní hodnoty'!L$4</f>
        <v>190531.56190476188</v>
      </c>
      <c r="BF52" s="5">
        <f t="shared" si="10"/>
        <v>3229.3485068603709</v>
      </c>
    </row>
    <row r="53" spans="4:58" x14ac:dyDescent="0.2">
      <c r="D53" s="14">
        <v>60</v>
      </c>
      <c r="E53" s="5">
        <f>INDEX('Vstupní hodnoty'!$A$4:$A$15, MATCH(Model!$B$2,'Vstupní hodnoty'!$B$4:$B$15,0))/30*(D53+1*D53/7)</f>
        <v>82057.142857142855</v>
      </c>
      <c r="F53">
        <f t="shared" si="0"/>
        <v>0</v>
      </c>
      <c r="G53">
        <f t="shared" si="11"/>
        <v>24000</v>
      </c>
      <c r="H53">
        <f>IF(D53&lt;14, 0, IF(AND(D53&gt;20,$B$4&lt;3,$B$3&lt;2), 'Vstupní hodnoty'!K$6, IF(AND(D53&gt;20, $B$4&lt;3, $B$3&lt;4), 'Vstupní hodnoty'!$K$5, 'Vstupní hodnoty'!$K$4)))</f>
        <v>27000</v>
      </c>
      <c r="I53">
        <f>IF($B$7=1, 'Vstupní hodnoty'!J$4*(2/3)/30*Model!D53, 0)</f>
        <v>0</v>
      </c>
      <c r="J53">
        <f>IF(Model!$B$5&gt;12,'Vstupní hodnoty'!$H$8*Model!D53,IF(Model!$B$5&gt;9,'Vstupní hodnoty'!$H$7*Model!D53,IF(Model!$B$5&gt;6,'Vstupní hodnoty'!$H$6*Model!D53,IF(Model!$B$5&gt;3,'Vstupní hodnoty'!$H$5*Model!D53,IF(Model!$B$5&gt;1,'Vstupní hodnoty'!$H$4*Model!D53,0)))))</f>
        <v>10260</v>
      </c>
      <c r="K53" s="5">
        <f>F53+G53+H53+E53*'Vstupní hodnoty'!L$4+J53*'Vstupní hodnoty'!L$4+I53*'Vstupní hodnoty'!L$4</f>
        <v>129469.57142857142</v>
      </c>
      <c r="L53" s="5">
        <f t="shared" si="1"/>
        <v>2157.8261904761903</v>
      </c>
      <c r="X53" s="14">
        <v>60</v>
      </c>
      <c r="Y53" s="5">
        <f>INDEX('Vstupní hodnoty'!$A$4:$A$15, MATCH(Model!$V$2,'Vstupní hodnoty'!$B$4:$B$15,0))/30*(X53+1*X53/7)</f>
        <v>105440</v>
      </c>
      <c r="Z53">
        <f t="shared" si="2"/>
        <v>0</v>
      </c>
      <c r="AA53">
        <f t="shared" si="3"/>
        <v>24000</v>
      </c>
      <c r="AB53">
        <f>IF(X53&lt;14, 0, IF(AND(X53&gt;20,$V$4&lt;3,$V$3&lt;2), 'Vstupní hodnoty'!$I$6, IF(AND(X53&gt;20, $V$4&lt;4, $V$3&lt;4), 'Vstupní hodnoty'!$I$5, 'Vstupní hodnoty'!$I$4)))</f>
        <v>27000</v>
      </c>
      <c r="AC53">
        <f>IF($V$7=1, 'Vstupní hodnoty'!$J$4*(2/3)/30*Model!X53, 0)</f>
        <v>0</v>
      </c>
      <c r="AD53">
        <f>IF(Model!$V$5&gt;12,'Vstupní hodnoty'!$H$8*Model!X53,IF(Model!$V$5&gt;9,'Vstupní hodnoty'!$H$7*Model!X53,IF(Model!$V$5&gt;6,'Vstupní hodnoty'!$H$6*Model!X53,IF(Model!$V$5&gt;3,'Vstupní hodnoty'!$H$5*Model!X53,IF(Model!$V$5&gt;1,'Vstupní hodnoty'!$H$4*Model!X53,0)))))</f>
        <v>15420</v>
      </c>
      <c r="AE53" s="5">
        <f>Z53+AA53+AB53+Y53*'Vstupní hodnoty'!L$4+AD53*'Vstupní hodnoty'!L$4+AC53*'Vstupní hodnoty'!L$4</f>
        <v>153731</v>
      </c>
      <c r="AF53" s="5">
        <f t="shared" si="4"/>
        <v>2562.1833333333334</v>
      </c>
      <c r="AK53" s="14">
        <v>60</v>
      </c>
      <c r="AL53" s="5">
        <f>INDEX('Vstupní hodnoty'!$A$4:$A$15, MATCH(Model!$AI$2,'Vstupní hodnoty'!$B$4:$B$15,0))/30*(AK53+1*AK53/7)</f>
        <v>105440</v>
      </c>
      <c r="AM53">
        <f t="shared" si="5"/>
        <v>0</v>
      </c>
      <c r="AN53">
        <f t="shared" si="6"/>
        <v>24000</v>
      </c>
      <c r="AO53">
        <f>IF(OR(AK53&lt;14, AI$3=4, AI$4=4),0,IF(AK53&lt;21,'Vstupní hodnoty'!N$4,IF(AK53&lt;28,'Vstupní hodnoty'!N$5,IF(AK53&lt;35,'Vstupní hodnoty'!N$6,'Vstupní hodnoty'!N$6))))+IF(OR(AK53&lt;21, AI$4=4),0,IF(AI$3&lt;2,'Vstupní hodnoty'!O$6*'Vstupní hodnoty'!$A$17*(AK53-20),IF(Model!AI$3&lt;3,'Vstupní hodnoty'!O$5*'Vstupní hodnoty'!$A$17*(AK53-20),IF(Model!AI$3&lt;4,'Vstupní hodnoty'!O$4*'Vstupní hodnoty'!$A$17*(AK53-20),0))))+IF(OR(AK53&lt;21, AI$3=4), 0, IF(AI$4=1, 'Vstupní hodnoty'!P$6, IF(Model!AI$4=2, 'Vstupní hodnoty'!P$5, IF(Model!AI$4=3, 'Vstupní hodnoty'!P$4, 0))))</f>
        <v>52000</v>
      </c>
      <c r="AP53">
        <f>IF($AI$7=1, 'Vstupní hodnoty'!J$4*(2/3)/30*Model!AK53, 0)</f>
        <v>0</v>
      </c>
      <c r="AQ53">
        <f>IF(Model!$AI$5&gt;12,'Vstupní hodnoty'!$H$8*Model!AK53,IF(Model!$AI$5&gt;9,'Vstupní hodnoty'!$H$7*Model!AK53,IF(Model!$AI$5&gt;6,'Vstupní hodnoty'!$H$6*Model!AK53,IF(Model!$AI$5&gt;3,'Vstupní hodnoty'!$H$5*Model!AK53,IF(Model!$AI$5&gt;1,'Vstupní hodnoty'!$H$4*Model!AK53,0)))))</f>
        <v>15420</v>
      </c>
      <c r="AR53" s="5">
        <f>AM53+AN53+AO53+AL53*'Vstupní hodnoty'!L$4+AQ53*'Vstupní hodnoty'!L$4+AP53*'Vstupní hodnoty'!L$4</f>
        <v>178731</v>
      </c>
      <c r="AS53" s="5">
        <f t="shared" si="7"/>
        <v>2978.85</v>
      </c>
      <c r="AX53" s="14">
        <v>60</v>
      </c>
      <c r="AY53" s="5">
        <f>INDEX('Vstupní hodnoty'!$A$4:$A$15, MATCH(Model!$AV$2,'Vstupní hodnoty'!$B$4:$B$15,0))/30*(AX53+1*AX53/7)</f>
        <v>82057.142857142855</v>
      </c>
      <c r="AZ53">
        <f t="shared" si="8"/>
        <v>0</v>
      </c>
      <c r="BA53">
        <f t="shared" si="9"/>
        <v>24000</v>
      </c>
      <c r="BB53" s="5">
        <f>IF(OR(AV$3=4,AV$4=4),0,'Roční bonus alt 2'!D52)+IF(OR(AX53&lt;21,AV$3=4,AV$4=4),0,IF(AV$3&lt;2,'Vstupní hodnoty'!O$6*'Vstupní hodnoty'!$A$17*(Model!AX53-20),IF(Model!AV$3&lt;3,'Vstupní hodnoty'!O$5*'Vstupní hodnoty'!$A$17*(Model!AX53-20),IF(Model!AV$3&lt;4,'Vstupní hodnoty'!O$4*'Vstupní hodnoty'!$A$17*(Model!AX53-20),0))))+IF(OR(AX53&lt;21,AV$3=4,AV$4=4),0,IF(AV$4=1,'Vstupní hodnoty'!P$6,IF(Model!AV$4=2,'Vstupní hodnoty'!P$5,IF(Model!AV$4=3,'Vstupní hodnoty'!P$4,0))))</f>
        <v>83893.333333333343</v>
      </c>
      <c r="BC53">
        <f>IF($AV$7=1, 'Vstupní hodnoty'!J$4*(2/3)/30*Model!AX53, 0)</f>
        <v>0</v>
      </c>
      <c r="BD53">
        <f>IF(Model!$AV$5&gt;12,'Vstupní hodnoty'!$Q$8*Model!AX53,IF(Model!$AV$5&gt;9,'Vstupní hodnoty'!$Q$7*Model!AX53,IF(Model!$AV$5&gt;6,'Vstupní hodnoty'!$Q$6*Model!AX53,IF(Model!$AV$5&gt;3,'Vstupní hodnoty'!$Q$5*Model!AX53,IF(Model!$AV$5&gt;1,'Vstupní hodnoty'!$Q$4*Model!AX53,0)))))</f>
        <v>18720</v>
      </c>
      <c r="BE53" s="5">
        <f>AZ53+BA53+BB53+AY53*'Vstupní hodnoty'!L$4+BD53*'Vstupní hodnoty'!L$4+BC53*'Vstupní hodnoty'!L$4</f>
        <v>193553.90476190476</v>
      </c>
      <c r="BF53" s="5">
        <f t="shared" si="10"/>
        <v>3225.8984126984128</v>
      </c>
    </row>
    <row r="54" spans="4:58" x14ac:dyDescent="0.2">
      <c r="D54" s="14">
        <v>61</v>
      </c>
      <c r="E54" s="5">
        <f>INDEX('Vstupní hodnoty'!$A$4:$A$15, MATCH(Model!$B$2,'Vstupní hodnoty'!$B$4:$B$15,0))/30*(D54+1*D54/7)</f>
        <v>83424.761904761908</v>
      </c>
      <c r="F54">
        <f t="shared" si="0"/>
        <v>0</v>
      </c>
      <c r="G54">
        <f t="shared" si="11"/>
        <v>24000</v>
      </c>
      <c r="H54">
        <f>IF(D54&lt;14, 0, IF(AND(D54&gt;20,$B$4&lt;3,$B$3&lt;2), 'Vstupní hodnoty'!K$6, IF(AND(D54&gt;20, $B$4&lt;3, $B$3&lt;4), 'Vstupní hodnoty'!$K$5, 'Vstupní hodnoty'!$K$4)))</f>
        <v>27000</v>
      </c>
      <c r="I54">
        <f>IF($B$7=1, 'Vstupní hodnoty'!J$4*(2/3)/30*Model!D54, 0)</f>
        <v>0</v>
      </c>
      <c r="J54">
        <f>IF(Model!$B$5&gt;12,'Vstupní hodnoty'!$H$8*Model!D54,IF(Model!$B$5&gt;9,'Vstupní hodnoty'!$H$7*Model!D54,IF(Model!$B$5&gt;6,'Vstupní hodnoty'!$H$6*Model!D54,IF(Model!$B$5&gt;3,'Vstupní hodnoty'!$H$5*Model!D54,IF(Model!$B$5&gt;1,'Vstupní hodnoty'!$H$4*Model!D54,0)))))</f>
        <v>10431</v>
      </c>
      <c r="K54" s="5">
        <f>F54+G54+H54+E54*'Vstupní hodnoty'!L$4+J54*'Vstupní hodnoty'!L$4+I54*'Vstupní hodnoty'!L$4</f>
        <v>130777.39761904762</v>
      </c>
      <c r="L54" s="5">
        <f t="shared" si="1"/>
        <v>2143.8917642466822</v>
      </c>
      <c r="X54" s="14">
        <v>61</v>
      </c>
      <c r="Y54" s="5">
        <f>INDEX('Vstupní hodnoty'!$A$4:$A$15, MATCH(Model!$V$2,'Vstupní hodnoty'!$B$4:$B$15,0))/30*(X54+1*X54/7)</f>
        <v>107197.33333333333</v>
      </c>
      <c r="Z54">
        <f t="shared" si="2"/>
        <v>0</v>
      </c>
      <c r="AA54">
        <f t="shared" si="3"/>
        <v>24000</v>
      </c>
      <c r="AB54">
        <f>IF(X54&lt;14, 0, IF(AND(X54&gt;20,$V$4&lt;3,$V$3&lt;2), 'Vstupní hodnoty'!$I$6, IF(AND(X54&gt;20, $V$4&lt;4, $V$3&lt;4), 'Vstupní hodnoty'!$I$5, 'Vstupní hodnoty'!$I$4)))</f>
        <v>27000</v>
      </c>
      <c r="AC54">
        <f>IF($V$7=1, 'Vstupní hodnoty'!$J$4*(2/3)/30*Model!X54, 0)</f>
        <v>0</v>
      </c>
      <c r="AD54">
        <f>IF(Model!$V$5&gt;12,'Vstupní hodnoty'!$H$8*Model!X54,IF(Model!$V$5&gt;9,'Vstupní hodnoty'!$H$7*Model!X54,IF(Model!$V$5&gt;6,'Vstupní hodnoty'!$H$6*Model!X54,IF(Model!$V$5&gt;3,'Vstupní hodnoty'!$H$5*Model!X54,IF(Model!$V$5&gt;1,'Vstupní hodnoty'!$H$4*Model!X54,0)))))</f>
        <v>15677</v>
      </c>
      <c r="AE54" s="5">
        <f>Z54+AA54+AB54+Y54*'Vstupní hodnoty'!L$4+AD54*'Vstupní hodnoty'!L$4+AC54*'Vstupní hodnoty'!L$4</f>
        <v>155443.18333333335</v>
      </c>
      <c r="AF54" s="5">
        <f t="shared" si="4"/>
        <v>2548.2489071038253</v>
      </c>
      <c r="AK54" s="14">
        <v>61</v>
      </c>
      <c r="AL54" s="5">
        <f>INDEX('Vstupní hodnoty'!$A$4:$A$15, MATCH(Model!$AI$2,'Vstupní hodnoty'!$B$4:$B$15,0))/30*(AK54+1*AK54/7)</f>
        <v>107197.33333333333</v>
      </c>
      <c r="AM54">
        <f t="shared" si="5"/>
        <v>0</v>
      </c>
      <c r="AN54">
        <f t="shared" si="6"/>
        <v>24000</v>
      </c>
      <c r="AO54">
        <f>IF(OR(AK54&lt;14, AI$3=4, AI$4=4),0,IF(AK54&lt;21,'Vstupní hodnoty'!N$4,IF(AK54&lt;28,'Vstupní hodnoty'!N$5,IF(AK54&lt;35,'Vstupní hodnoty'!N$6,'Vstupní hodnoty'!N$6))))+IF(OR(AK54&lt;21, AI$4=4),0,IF(AI$3&lt;2,'Vstupní hodnoty'!O$6*'Vstupní hodnoty'!$A$17*(AK54-20),IF(Model!AI$3&lt;3,'Vstupní hodnoty'!O$5*'Vstupní hodnoty'!$A$17*(AK54-20),IF(Model!AI$3&lt;4,'Vstupní hodnoty'!O$4*'Vstupní hodnoty'!$A$17*(AK54-20),0))))+IF(OR(AK54&lt;21, AI$3=4), 0, IF(AI$4=1, 'Vstupní hodnoty'!P$6, IF(Model!AI$4=2, 'Vstupní hodnoty'!P$5, IF(Model!AI$4=3, 'Vstupní hodnoty'!P$4, 0))))</f>
        <v>52208</v>
      </c>
      <c r="AP54">
        <f>IF($AI$7=1, 'Vstupní hodnoty'!J$4*(2/3)/30*Model!AK54, 0)</f>
        <v>0</v>
      </c>
      <c r="AQ54">
        <f>IF(Model!$AI$5&gt;12,'Vstupní hodnoty'!$H$8*Model!AK54,IF(Model!$AI$5&gt;9,'Vstupní hodnoty'!$H$7*Model!AK54,IF(Model!$AI$5&gt;6,'Vstupní hodnoty'!$H$6*Model!AK54,IF(Model!$AI$5&gt;3,'Vstupní hodnoty'!$H$5*Model!AK54,IF(Model!$AI$5&gt;1,'Vstupní hodnoty'!$H$4*Model!AK54,0)))))</f>
        <v>15677</v>
      </c>
      <c r="AR54" s="5">
        <f>AM54+AN54+AO54+AL54*'Vstupní hodnoty'!L$4+AQ54*'Vstupní hodnoty'!L$4+AP54*'Vstupní hodnoty'!L$4</f>
        <v>180651.18333333335</v>
      </c>
      <c r="AS54" s="5">
        <f t="shared" si="7"/>
        <v>2961.4948087431699</v>
      </c>
      <c r="AX54" s="14">
        <v>61</v>
      </c>
      <c r="AY54" s="5">
        <f>INDEX('Vstupní hodnoty'!$A$4:$A$15, MATCH(Model!$AV$2,'Vstupní hodnoty'!$B$4:$B$15,0))/30*(AX54+1*AX54/7)</f>
        <v>83424.761904761908</v>
      </c>
      <c r="AZ54">
        <f t="shared" si="8"/>
        <v>0</v>
      </c>
      <c r="BA54">
        <f t="shared" si="9"/>
        <v>24000</v>
      </c>
      <c r="BB54" s="5">
        <f>IF(OR(AV$3=4,AV$4=4),0,'Roční bonus alt 2'!D53)+IF(OR(AX54&lt;21,AV$3=4,AV$4=4),0,IF(AV$3&lt;2,'Vstupní hodnoty'!O$6*'Vstupní hodnoty'!$A$17*(Model!AX54-20),IF(Model!AV$3&lt;3,'Vstupní hodnoty'!O$5*'Vstupní hodnoty'!$A$17*(Model!AX54-20),IF(Model!AV$3&lt;4,'Vstupní hodnoty'!O$4*'Vstupní hodnoty'!$A$17*(Model!AX54-20),0))))+IF(OR(AX54&lt;21,AV$3=4,AV$4=4),0,IF(AV$4=1,'Vstupní hodnoty'!P$6,IF(Model!AV$4=2,'Vstupní hodnoty'!P$5,IF(Model!AV$4=3,'Vstupní hodnoty'!P$4,0))))</f>
        <v>85488</v>
      </c>
      <c r="BC54">
        <f>IF($AV$7=1, 'Vstupní hodnoty'!J$4*(2/3)/30*Model!AX54, 0)</f>
        <v>0</v>
      </c>
      <c r="BD54">
        <f>IF(Model!$AV$5&gt;12,'Vstupní hodnoty'!$Q$8*Model!AX54,IF(Model!$AV$5&gt;9,'Vstupní hodnoty'!$Q$7*Model!AX54,IF(Model!$AV$5&gt;6,'Vstupní hodnoty'!$Q$6*Model!AX54,IF(Model!$AV$5&gt;3,'Vstupní hodnoty'!$Q$5*Model!AX54,IF(Model!$AV$5&gt;1,'Vstupní hodnoty'!$Q$4*Model!AX54,0)))))</f>
        <v>19032</v>
      </c>
      <c r="BE54" s="5">
        <f>AZ54+BA54+BB54+AY54*'Vstupní hodnoty'!L$4+BD54*'Vstupní hodnoty'!L$4+BC54*'Vstupní hodnoty'!L$4</f>
        <v>196576.24761904764</v>
      </c>
      <c r="BF54" s="5">
        <f t="shared" si="10"/>
        <v>3222.5614363778304</v>
      </c>
    </row>
    <row r="55" spans="4:58" x14ac:dyDescent="0.2">
      <c r="D55" s="14">
        <v>62</v>
      </c>
      <c r="E55" s="5">
        <f>INDEX('Vstupní hodnoty'!$A$4:$A$15, MATCH(Model!$B$2,'Vstupní hodnoty'!$B$4:$B$15,0))/30*(D55+1*D55/7)</f>
        <v>84792.380952380961</v>
      </c>
      <c r="F55">
        <f t="shared" si="0"/>
        <v>0</v>
      </c>
      <c r="G55">
        <f t="shared" si="11"/>
        <v>24000</v>
      </c>
      <c r="H55">
        <f>IF(D55&lt;14, 0, IF(AND(D55&gt;20,$B$4&lt;3,$B$3&lt;2), 'Vstupní hodnoty'!K$6, IF(AND(D55&gt;20, $B$4&lt;3, $B$3&lt;4), 'Vstupní hodnoty'!$K$5, 'Vstupní hodnoty'!$K$4)))</f>
        <v>27000</v>
      </c>
      <c r="I55">
        <f>IF($B$7=1, 'Vstupní hodnoty'!J$4*(2/3)/30*Model!D55, 0)</f>
        <v>0</v>
      </c>
      <c r="J55">
        <f>IF(Model!$B$5&gt;12,'Vstupní hodnoty'!$H$8*Model!D55,IF(Model!$B$5&gt;9,'Vstupní hodnoty'!$H$7*Model!D55,IF(Model!$B$5&gt;6,'Vstupní hodnoty'!$H$6*Model!D55,IF(Model!$B$5&gt;3,'Vstupní hodnoty'!$H$5*Model!D55,IF(Model!$B$5&gt;1,'Vstupní hodnoty'!$H$4*Model!D55,0)))))</f>
        <v>10602</v>
      </c>
      <c r="K55" s="5">
        <f>F55+G55+H55+E55*'Vstupní hodnoty'!L$4+J55*'Vstupní hodnoty'!L$4+I55*'Vstupní hodnoty'!L$4</f>
        <v>132085.22380952383</v>
      </c>
      <c r="L55" s="5">
        <f t="shared" si="1"/>
        <v>2130.406835637481</v>
      </c>
      <c r="X55" s="14">
        <v>62</v>
      </c>
      <c r="Y55" s="5">
        <f>INDEX('Vstupní hodnoty'!$A$4:$A$15, MATCH(Model!$V$2,'Vstupní hodnoty'!$B$4:$B$15,0))/30*(X55+1*X55/7)</f>
        <v>108954.66666666667</v>
      </c>
      <c r="Z55">
        <f t="shared" si="2"/>
        <v>0</v>
      </c>
      <c r="AA55">
        <f t="shared" si="3"/>
        <v>24000</v>
      </c>
      <c r="AB55">
        <f>IF(X55&lt;14, 0, IF(AND(X55&gt;20,$V$4&lt;3,$V$3&lt;2), 'Vstupní hodnoty'!$I$6, IF(AND(X55&gt;20, $V$4&lt;4, $V$3&lt;4), 'Vstupní hodnoty'!$I$5, 'Vstupní hodnoty'!$I$4)))</f>
        <v>27000</v>
      </c>
      <c r="AC55">
        <f>IF($V$7=1, 'Vstupní hodnoty'!$J$4*(2/3)/30*Model!X55, 0)</f>
        <v>0</v>
      </c>
      <c r="AD55">
        <f>IF(Model!$V$5&gt;12,'Vstupní hodnoty'!$H$8*Model!X55,IF(Model!$V$5&gt;9,'Vstupní hodnoty'!$H$7*Model!X55,IF(Model!$V$5&gt;6,'Vstupní hodnoty'!$H$6*Model!X55,IF(Model!$V$5&gt;3,'Vstupní hodnoty'!$H$5*Model!X55,IF(Model!$V$5&gt;1,'Vstupní hodnoty'!$H$4*Model!X55,0)))))</f>
        <v>15934</v>
      </c>
      <c r="AE55" s="5">
        <f>Z55+AA55+AB55+Y55*'Vstupní hodnoty'!L$4+AD55*'Vstupní hodnoty'!L$4+AC55*'Vstupní hodnoty'!L$4</f>
        <v>157155.36666666667</v>
      </c>
      <c r="AF55" s="5">
        <f t="shared" si="4"/>
        <v>2534.7639784946236</v>
      </c>
      <c r="AK55" s="14">
        <v>62</v>
      </c>
      <c r="AL55" s="5">
        <f>INDEX('Vstupní hodnoty'!$A$4:$A$15, MATCH(Model!$AI$2,'Vstupní hodnoty'!$B$4:$B$15,0))/30*(AK55+1*AK55/7)</f>
        <v>108954.66666666667</v>
      </c>
      <c r="AM55">
        <f t="shared" si="5"/>
        <v>0</v>
      </c>
      <c r="AN55">
        <f t="shared" si="6"/>
        <v>24000</v>
      </c>
      <c r="AO55">
        <f>IF(OR(AK55&lt;14, AI$3=4, AI$4=4),0,IF(AK55&lt;21,'Vstupní hodnoty'!N$4,IF(AK55&lt;28,'Vstupní hodnoty'!N$5,IF(AK55&lt;35,'Vstupní hodnoty'!N$6,'Vstupní hodnoty'!N$6))))+IF(OR(AK55&lt;21, AI$4=4),0,IF(AI$3&lt;2,'Vstupní hodnoty'!O$6*'Vstupní hodnoty'!$A$17*(AK55-20),IF(Model!AI$3&lt;3,'Vstupní hodnoty'!O$5*'Vstupní hodnoty'!$A$17*(AK55-20),IF(Model!AI$3&lt;4,'Vstupní hodnoty'!O$4*'Vstupní hodnoty'!$A$17*(AK55-20),0))))+IF(OR(AK55&lt;21, AI$3=4), 0, IF(AI$4=1, 'Vstupní hodnoty'!P$6, IF(Model!AI$4=2, 'Vstupní hodnoty'!P$5, IF(Model!AI$4=3, 'Vstupní hodnoty'!P$4, 0))))</f>
        <v>52416</v>
      </c>
      <c r="AP55">
        <f>IF($AI$7=1, 'Vstupní hodnoty'!J$4*(2/3)/30*Model!AK55, 0)</f>
        <v>0</v>
      </c>
      <c r="AQ55">
        <f>IF(Model!$AI$5&gt;12,'Vstupní hodnoty'!$H$8*Model!AK55,IF(Model!$AI$5&gt;9,'Vstupní hodnoty'!$H$7*Model!AK55,IF(Model!$AI$5&gt;6,'Vstupní hodnoty'!$H$6*Model!AK55,IF(Model!$AI$5&gt;3,'Vstupní hodnoty'!$H$5*Model!AK55,IF(Model!$AI$5&gt;1,'Vstupní hodnoty'!$H$4*Model!AK55,0)))))</f>
        <v>15934</v>
      </c>
      <c r="AR55" s="5">
        <f>AM55+AN55+AO55+AL55*'Vstupní hodnoty'!L$4+AQ55*'Vstupní hodnoty'!L$4+AP55*'Vstupní hodnoty'!L$4</f>
        <v>182571.36666666667</v>
      </c>
      <c r="AS55" s="5">
        <f t="shared" si="7"/>
        <v>2944.6994623655914</v>
      </c>
      <c r="AX55" s="14">
        <v>62</v>
      </c>
      <c r="AY55" s="5">
        <f>INDEX('Vstupní hodnoty'!$A$4:$A$15, MATCH(Model!$AV$2,'Vstupní hodnoty'!$B$4:$B$15,0))/30*(AX55+1*AX55/7)</f>
        <v>84792.380952380961</v>
      </c>
      <c r="AZ55">
        <f t="shared" si="8"/>
        <v>0</v>
      </c>
      <c r="BA55">
        <f t="shared" si="9"/>
        <v>24000</v>
      </c>
      <c r="BB55" s="5">
        <f>IF(OR(AV$3=4,AV$4=4),0,'Roční bonus alt 2'!D54)+IF(OR(AX55&lt;21,AV$3=4,AV$4=4),0,IF(AV$3&lt;2,'Vstupní hodnoty'!O$6*'Vstupní hodnoty'!$A$17*(Model!AX55-20),IF(Model!AV$3&lt;3,'Vstupní hodnoty'!O$5*'Vstupní hodnoty'!$A$17*(Model!AX55-20),IF(Model!AV$3&lt;4,'Vstupní hodnoty'!O$4*'Vstupní hodnoty'!$A$17*(Model!AX55-20),0))))+IF(OR(AX55&lt;21,AV$3=4,AV$4=4),0,IF(AV$4=1,'Vstupní hodnoty'!P$6,IF(Model!AV$4=2,'Vstupní hodnoty'!P$5,IF(Model!AV$4=3,'Vstupní hodnoty'!P$4,0))))</f>
        <v>87082.666666666657</v>
      </c>
      <c r="BC55">
        <f>IF($AV$7=1, 'Vstupní hodnoty'!J$4*(2/3)/30*Model!AX55, 0)</f>
        <v>0</v>
      </c>
      <c r="BD55">
        <f>IF(Model!$AV$5&gt;12,'Vstupní hodnoty'!$Q$8*Model!AX55,IF(Model!$AV$5&gt;9,'Vstupní hodnoty'!$Q$7*Model!AX55,IF(Model!$AV$5&gt;6,'Vstupní hodnoty'!$Q$6*Model!AX55,IF(Model!$AV$5&gt;3,'Vstupní hodnoty'!$Q$5*Model!AX55,IF(Model!$AV$5&gt;1,'Vstupní hodnoty'!$Q$4*Model!AX55,0)))))</f>
        <v>19344</v>
      </c>
      <c r="BE55" s="5">
        <f>AZ55+BA55+BB55+AY55*'Vstupní hodnoty'!L$4+BD55*'Vstupní hodnoty'!L$4+BC55*'Vstupní hodnoty'!L$4</f>
        <v>199598.59047619047</v>
      </c>
      <c r="BF55" s="5">
        <f t="shared" si="10"/>
        <v>3219.3321044546851</v>
      </c>
    </row>
    <row r="56" spans="4:58" x14ac:dyDescent="0.2">
      <c r="D56" s="14">
        <v>63</v>
      </c>
      <c r="E56" s="5">
        <f>INDEX('Vstupní hodnoty'!$A$4:$A$15, MATCH(Model!$B$2,'Vstupní hodnoty'!$B$4:$B$15,0))/30*(D56+1*D56/7)</f>
        <v>86160</v>
      </c>
      <c r="F56">
        <f t="shared" si="0"/>
        <v>0</v>
      </c>
      <c r="G56">
        <f t="shared" si="11"/>
        <v>24000</v>
      </c>
      <c r="H56">
        <f>IF(D56&lt;14, 0, IF(AND(D56&gt;20,$B$4&lt;3,$B$3&lt;2), 'Vstupní hodnoty'!K$6, IF(AND(D56&gt;20, $B$4&lt;3, $B$3&lt;4), 'Vstupní hodnoty'!$K$5, 'Vstupní hodnoty'!$K$4)))</f>
        <v>27000</v>
      </c>
      <c r="I56">
        <f>IF($B$7=1, 'Vstupní hodnoty'!J$4*(2/3)/30*Model!D56, 0)</f>
        <v>0</v>
      </c>
      <c r="J56">
        <f>IF(Model!$B$5&gt;12,'Vstupní hodnoty'!$H$8*Model!D56,IF(Model!$B$5&gt;9,'Vstupní hodnoty'!$H$7*Model!D56,IF(Model!$B$5&gt;6,'Vstupní hodnoty'!$H$6*Model!D56,IF(Model!$B$5&gt;3,'Vstupní hodnoty'!$H$5*Model!D56,IF(Model!$B$5&gt;1,'Vstupní hodnoty'!$H$4*Model!D56,0)))))</f>
        <v>10773</v>
      </c>
      <c r="K56" s="5">
        <f>F56+G56+H56+E56*'Vstupní hodnoty'!L$4+J56*'Vstupní hodnoty'!L$4+I56*'Vstupní hodnoty'!L$4</f>
        <v>133393.04999999999</v>
      </c>
      <c r="L56" s="5">
        <f t="shared" si="1"/>
        <v>2117.35</v>
      </c>
      <c r="X56" s="14">
        <v>63</v>
      </c>
      <c r="Y56" s="5">
        <f>INDEX('Vstupní hodnoty'!$A$4:$A$15, MATCH(Model!$V$2,'Vstupní hodnoty'!$B$4:$B$15,0))/30*(X56+1*X56/7)</f>
        <v>110712</v>
      </c>
      <c r="Z56">
        <f t="shared" si="2"/>
        <v>0</v>
      </c>
      <c r="AA56">
        <f t="shared" si="3"/>
        <v>24000</v>
      </c>
      <c r="AB56">
        <f>IF(X56&lt;14, 0, IF(AND(X56&gt;20,$V$4&lt;3,$V$3&lt;2), 'Vstupní hodnoty'!$I$6, IF(AND(X56&gt;20, $V$4&lt;4, $V$3&lt;4), 'Vstupní hodnoty'!$I$5, 'Vstupní hodnoty'!$I$4)))</f>
        <v>27000</v>
      </c>
      <c r="AC56">
        <f>IF($V$7=1, 'Vstupní hodnoty'!$J$4*(2/3)/30*Model!X56, 0)</f>
        <v>0</v>
      </c>
      <c r="AD56">
        <f>IF(Model!$V$5&gt;12,'Vstupní hodnoty'!$H$8*Model!X56,IF(Model!$V$5&gt;9,'Vstupní hodnoty'!$H$7*Model!X56,IF(Model!$V$5&gt;6,'Vstupní hodnoty'!$H$6*Model!X56,IF(Model!$V$5&gt;3,'Vstupní hodnoty'!$H$5*Model!X56,IF(Model!$V$5&gt;1,'Vstupní hodnoty'!$H$4*Model!X56,0)))))</f>
        <v>16191</v>
      </c>
      <c r="AE56" s="5">
        <f>Z56+AA56+AB56+Y56*'Vstupní hodnoty'!L$4+AD56*'Vstupní hodnoty'!L$4+AC56*'Vstupní hodnoty'!L$4</f>
        <v>158867.55000000002</v>
      </c>
      <c r="AF56" s="5">
        <f t="shared" si="4"/>
        <v>2521.707142857143</v>
      </c>
      <c r="AK56" s="14">
        <v>63</v>
      </c>
      <c r="AL56" s="5">
        <f>INDEX('Vstupní hodnoty'!$A$4:$A$15, MATCH(Model!$AI$2,'Vstupní hodnoty'!$B$4:$B$15,0))/30*(AK56+1*AK56/7)</f>
        <v>110712</v>
      </c>
      <c r="AM56">
        <f t="shared" si="5"/>
        <v>0</v>
      </c>
      <c r="AN56">
        <f t="shared" si="6"/>
        <v>24000</v>
      </c>
      <c r="AO56">
        <f>IF(OR(AK56&lt;14, AI$3=4, AI$4=4),0,IF(AK56&lt;21,'Vstupní hodnoty'!N$4,IF(AK56&lt;28,'Vstupní hodnoty'!N$5,IF(AK56&lt;35,'Vstupní hodnoty'!N$6,'Vstupní hodnoty'!N$6))))+IF(OR(AK56&lt;21, AI$4=4),0,IF(AI$3&lt;2,'Vstupní hodnoty'!O$6*'Vstupní hodnoty'!$A$17*(AK56-20),IF(Model!AI$3&lt;3,'Vstupní hodnoty'!O$5*'Vstupní hodnoty'!$A$17*(AK56-20),IF(Model!AI$3&lt;4,'Vstupní hodnoty'!O$4*'Vstupní hodnoty'!$A$17*(AK56-20),0))))+IF(OR(AK56&lt;21, AI$3=4), 0, IF(AI$4=1, 'Vstupní hodnoty'!P$6, IF(Model!AI$4=2, 'Vstupní hodnoty'!P$5, IF(Model!AI$4=3, 'Vstupní hodnoty'!P$4, 0))))</f>
        <v>52624</v>
      </c>
      <c r="AP56">
        <f>IF($AI$7=1, 'Vstupní hodnoty'!J$4*(2/3)/30*Model!AK56, 0)</f>
        <v>0</v>
      </c>
      <c r="AQ56">
        <f>IF(Model!$AI$5&gt;12,'Vstupní hodnoty'!$H$8*Model!AK56,IF(Model!$AI$5&gt;9,'Vstupní hodnoty'!$H$7*Model!AK56,IF(Model!$AI$5&gt;6,'Vstupní hodnoty'!$H$6*Model!AK56,IF(Model!$AI$5&gt;3,'Vstupní hodnoty'!$H$5*Model!AK56,IF(Model!$AI$5&gt;1,'Vstupní hodnoty'!$H$4*Model!AK56,0)))))</f>
        <v>16191</v>
      </c>
      <c r="AR56" s="5">
        <f>AM56+AN56+AO56+AL56*'Vstupní hodnoty'!L$4+AQ56*'Vstupní hodnoty'!L$4+AP56*'Vstupní hodnoty'!L$4</f>
        <v>184491.55000000002</v>
      </c>
      <c r="AS56" s="5">
        <f t="shared" si="7"/>
        <v>2928.437301587302</v>
      </c>
      <c r="AX56" s="14">
        <v>63</v>
      </c>
      <c r="AY56" s="5">
        <f>INDEX('Vstupní hodnoty'!$A$4:$A$15, MATCH(Model!$AV$2,'Vstupní hodnoty'!$B$4:$B$15,0))/30*(AX56+1*AX56/7)</f>
        <v>86160</v>
      </c>
      <c r="AZ56">
        <f t="shared" si="8"/>
        <v>0</v>
      </c>
      <c r="BA56">
        <f t="shared" si="9"/>
        <v>24000</v>
      </c>
      <c r="BB56" s="5">
        <f>IF(OR(AV$3=4,AV$4=4),0,'Roční bonus alt 2'!D55)+IF(OR(AX56&lt;21,AV$3=4,AV$4=4),0,IF(AV$3&lt;2,'Vstupní hodnoty'!O$6*'Vstupní hodnoty'!$A$17*(Model!AX56-20),IF(Model!AV$3&lt;3,'Vstupní hodnoty'!O$5*'Vstupní hodnoty'!$A$17*(Model!AX56-20),IF(Model!AV$3&lt;4,'Vstupní hodnoty'!O$4*'Vstupní hodnoty'!$A$17*(Model!AX56-20),0))))+IF(OR(AX56&lt;21,AV$3=4,AV$4=4),0,IF(AV$4=1,'Vstupní hodnoty'!P$6,IF(Model!AV$4=2,'Vstupní hodnoty'!P$5,IF(Model!AV$4=3,'Vstupní hodnoty'!P$4,0))))</f>
        <v>88677.333333333343</v>
      </c>
      <c r="BC56">
        <f>IF($AV$7=1, 'Vstupní hodnoty'!J$4*(2/3)/30*Model!AX56, 0)</f>
        <v>0</v>
      </c>
      <c r="BD56">
        <f>IF(Model!$AV$5&gt;12,'Vstupní hodnoty'!$Q$8*Model!AX56,IF(Model!$AV$5&gt;9,'Vstupní hodnoty'!$Q$7*Model!AX56,IF(Model!$AV$5&gt;6,'Vstupní hodnoty'!$Q$6*Model!AX56,IF(Model!$AV$5&gt;3,'Vstupní hodnoty'!$Q$5*Model!AX56,IF(Model!$AV$5&gt;1,'Vstupní hodnoty'!$Q$4*Model!AX56,0)))))</f>
        <v>19656</v>
      </c>
      <c r="BE56" s="5">
        <f>AZ56+BA56+BB56+AY56*'Vstupní hodnoty'!L$4+BD56*'Vstupní hodnoty'!L$4+BC56*'Vstupní hodnoty'!L$4</f>
        <v>202620.93333333335</v>
      </c>
      <c r="BF56" s="5">
        <f t="shared" si="10"/>
        <v>3216.2052910052912</v>
      </c>
    </row>
    <row r="57" spans="4:58" x14ac:dyDescent="0.2">
      <c r="D57" s="14">
        <v>64</v>
      </c>
      <c r="E57" s="5">
        <f>INDEX('Vstupní hodnoty'!$A$4:$A$15, MATCH(Model!$B$2,'Vstupní hodnoty'!$B$4:$B$15,0))/30*(D57+1*D57/7)</f>
        <v>87527.619047619053</v>
      </c>
      <c r="F57">
        <f t="shared" si="0"/>
        <v>0</v>
      </c>
      <c r="G57">
        <f t="shared" ref="G57:G75" si="12">IF(F57=0, $B$6*2000/(B$6/12), 0)</f>
        <v>24000</v>
      </c>
      <c r="H57">
        <f>IF(D57&lt;14, 0, IF(AND(D57&gt;20,$B$4&lt;3,$B$3&lt;2), 'Vstupní hodnoty'!K$6, IF(AND(D57&gt;20, $B$4&lt;3, $B$3&lt;4), 'Vstupní hodnoty'!$K$5, 'Vstupní hodnoty'!$K$4)))</f>
        <v>27000</v>
      </c>
      <c r="I57">
        <f>IF($B$7=1, 'Vstupní hodnoty'!J$4*(2/3)/30*Model!D57, 0)</f>
        <v>0</v>
      </c>
      <c r="J57">
        <f>IF(Model!$B$5&gt;12,'Vstupní hodnoty'!$H$8*Model!D57,IF(Model!$B$5&gt;9,'Vstupní hodnoty'!$H$7*Model!D57,IF(Model!$B$5&gt;6,'Vstupní hodnoty'!$H$6*Model!D57,IF(Model!$B$5&gt;3,'Vstupní hodnoty'!$H$5*Model!D57,IF(Model!$B$5&gt;1,'Vstupní hodnoty'!$H$4*Model!D57,0)))))</f>
        <v>10944</v>
      </c>
      <c r="K57" s="5">
        <f>F57+G57+H57+E57*'Vstupní hodnoty'!L$4+J57*'Vstupní hodnoty'!L$4+I57*'Vstupní hodnoty'!L$4</f>
        <v>134700.87619047621</v>
      </c>
      <c r="L57" s="5">
        <f t="shared" si="1"/>
        <v>2104.7011904761907</v>
      </c>
      <c r="X57" s="14">
        <v>64</v>
      </c>
      <c r="Y57" s="5">
        <f>INDEX('Vstupní hodnoty'!$A$4:$A$15, MATCH(Model!$V$2,'Vstupní hodnoty'!$B$4:$B$15,0))/30*(X57+1*X57/7)</f>
        <v>112469.33333333333</v>
      </c>
      <c r="Z57">
        <f t="shared" si="2"/>
        <v>0</v>
      </c>
      <c r="AA57">
        <f t="shared" ref="AA57:AA77" si="13">IF(Z57=0, $V$6*2000/(V$6/12), 0)</f>
        <v>24000</v>
      </c>
      <c r="AB57">
        <f>IF(X57&lt;14, 0, IF(AND(X57&gt;20,$V$4&lt;3,$V$3&lt;2), 'Vstupní hodnoty'!$I$6, IF(AND(X57&gt;20, $V$4&lt;4, $V$3&lt;4), 'Vstupní hodnoty'!$I$5, 'Vstupní hodnoty'!$I$4)))</f>
        <v>27000</v>
      </c>
      <c r="AC57">
        <f>IF($V$7=1, 'Vstupní hodnoty'!$J$4*(2/3)/30*Model!X57, 0)</f>
        <v>0</v>
      </c>
      <c r="AD57">
        <f>IF(Model!$V$5&gt;12,'Vstupní hodnoty'!$H$8*Model!X57,IF(Model!$V$5&gt;9,'Vstupní hodnoty'!$H$7*Model!X57,IF(Model!$V$5&gt;6,'Vstupní hodnoty'!$H$6*Model!X57,IF(Model!$V$5&gt;3,'Vstupní hodnoty'!$H$5*Model!X57,IF(Model!$V$5&gt;1,'Vstupní hodnoty'!$H$4*Model!X57,0)))))</f>
        <v>16448</v>
      </c>
      <c r="AE57" s="5">
        <f>Z57+AA57+AB57+Y57*'Vstupní hodnoty'!L$4+AD57*'Vstupní hodnoty'!L$4+AC57*'Vstupní hodnoty'!L$4</f>
        <v>160579.73333333331</v>
      </c>
      <c r="AF57" s="5">
        <f t="shared" si="4"/>
        <v>2509.0583333333329</v>
      </c>
      <c r="AK57" s="14">
        <v>64</v>
      </c>
      <c r="AL57" s="5">
        <f>INDEX('Vstupní hodnoty'!$A$4:$A$15, MATCH(Model!$AI$2,'Vstupní hodnoty'!$B$4:$B$15,0))/30*(AK57+1*AK57/7)</f>
        <v>112469.33333333333</v>
      </c>
      <c r="AM57">
        <f t="shared" si="5"/>
        <v>0</v>
      </c>
      <c r="AN57">
        <f t="shared" ref="AN57:AN77" si="14">IF(AM57=0, $AI$6*2000/(AI$6/12), 0)</f>
        <v>24000</v>
      </c>
      <c r="AO57">
        <f>IF(OR(AK57&lt;14, AI$3=4, AI$4=4),0,IF(AK57&lt;21,'Vstupní hodnoty'!N$4,IF(AK57&lt;28,'Vstupní hodnoty'!N$5,IF(AK57&lt;35,'Vstupní hodnoty'!N$6,'Vstupní hodnoty'!N$6))))+IF(OR(AK57&lt;21, AI$4=4),0,IF(AI$3&lt;2,'Vstupní hodnoty'!O$6*'Vstupní hodnoty'!$A$17*(AK57-20),IF(Model!AI$3&lt;3,'Vstupní hodnoty'!O$5*'Vstupní hodnoty'!$A$17*(AK57-20),IF(Model!AI$3&lt;4,'Vstupní hodnoty'!O$4*'Vstupní hodnoty'!$A$17*(AK57-20),0))))+IF(OR(AK57&lt;21, AI$3=4), 0, IF(AI$4=1, 'Vstupní hodnoty'!P$6, IF(Model!AI$4=2, 'Vstupní hodnoty'!P$5, IF(Model!AI$4=3, 'Vstupní hodnoty'!P$4, 0))))</f>
        <v>52832</v>
      </c>
      <c r="AP57">
        <f>IF($AI$7=1, 'Vstupní hodnoty'!J$4*(2/3)/30*Model!AK57, 0)</f>
        <v>0</v>
      </c>
      <c r="AQ57">
        <f>IF(Model!$AI$5&gt;12,'Vstupní hodnoty'!$H$8*Model!AK57,IF(Model!$AI$5&gt;9,'Vstupní hodnoty'!$H$7*Model!AK57,IF(Model!$AI$5&gt;6,'Vstupní hodnoty'!$H$6*Model!AK57,IF(Model!$AI$5&gt;3,'Vstupní hodnoty'!$H$5*Model!AK57,IF(Model!$AI$5&gt;1,'Vstupní hodnoty'!$H$4*Model!AK57,0)))))</f>
        <v>16448</v>
      </c>
      <c r="AR57" s="5">
        <f>AM57+AN57+AO57+AL57*'Vstupní hodnoty'!L$4+AQ57*'Vstupní hodnoty'!L$4+AP57*'Vstupní hodnoty'!L$4</f>
        <v>186411.73333333331</v>
      </c>
      <c r="AS57" s="5">
        <f t="shared" si="7"/>
        <v>2912.6833333333329</v>
      </c>
      <c r="AX57" s="14">
        <v>64</v>
      </c>
      <c r="AY57" s="5">
        <f>INDEX('Vstupní hodnoty'!$A$4:$A$15, MATCH(Model!$AV$2,'Vstupní hodnoty'!$B$4:$B$15,0))/30*(AX57+1*AX57/7)</f>
        <v>87527.619047619053</v>
      </c>
      <c r="AZ57">
        <f t="shared" si="8"/>
        <v>0</v>
      </c>
      <c r="BA57">
        <f t="shared" ref="BA57:BA77" si="15">IF(AZ57=0, $AV$6*2000/(AV$6/12), 0)</f>
        <v>24000</v>
      </c>
      <c r="BB57" s="5">
        <f>IF(OR(AV$3=4,AV$4=4),0,'Roční bonus alt 2'!D56)+IF(OR(AX57&lt;21,AV$3=4,AV$4=4),0,IF(AV$3&lt;2,'Vstupní hodnoty'!O$6*'Vstupní hodnoty'!$A$17*(Model!AX57-20),IF(Model!AV$3&lt;3,'Vstupní hodnoty'!O$5*'Vstupní hodnoty'!$A$17*(Model!AX57-20),IF(Model!AV$3&lt;4,'Vstupní hodnoty'!O$4*'Vstupní hodnoty'!$A$17*(Model!AX57-20),0))))+IF(OR(AX57&lt;21,AV$3=4,AV$4=4),0,IF(AV$4=1,'Vstupní hodnoty'!P$6,IF(Model!AV$4=2,'Vstupní hodnoty'!P$5,IF(Model!AV$4=3,'Vstupní hodnoty'!P$4,0))))</f>
        <v>90272</v>
      </c>
      <c r="BC57">
        <f>IF($AV$7=1, 'Vstupní hodnoty'!J$4*(2/3)/30*Model!AX57, 0)</f>
        <v>0</v>
      </c>
      <c r="BD57">
        <f>IF(Model!$AV$5&gt;12,'Vstupní hodnoty'!$Q$8*Model!AX57,IF(Model!$AV$5&gt;9,'Vstupní hodnoty'!$Q$7*Model!AX57,IF(Model!$AV$5&gt;6,'Vstupní hodnoty'!$Q$6*Model!AX57,IF(Model!$AV$5&gt;3,'Vstupní hodnoty'!$Q$5*Model!AX57,IF(Model!$AV$5&gt;1,'Vstupní hodnoty'!$Q$4*Model!AX57,0)))))</f>
        <v>19968</v>
      </c>
      <c r="BE57" s="5">
        <f>AZ57+BA57+BB57+AY57*'Vstupní hodnoty'!L$4+BD57*'Vstupní hodnoty'!L$4+BC57*'Vstupní hodnoty'!L$4</f>
        <v>205643.2761904762</v>
      </c>
      <c r="BF57" s="5">
        <f t="shared" si="10"/>
        <v>3213.1761904761906</v>
      </c>
    </row>
    <row r="58" spans="4:58" x14ac:dyDescent="0.2">
      <c r="D58" s="14">
        <v>65</v>
      </c>
      <c r="E58" s="5">
        <f>INDEX('Vstupní hodnoty'!$A$4:$A$15, MATCH(Model!$B$2,'Vstupní hodnoty'!$B$4:$B$15,0))/30*(D58+1*D58/7)</f>
        <v>88895.238095238106</v>
      </c>
      <c r="F58">
        <f t="shared" si="0"/>
        <v>0</v>
      </c>
      <c r="G58">
        <f t="shared" si="12"/>
        <v>24000</v>
      </c>
      <c r="H58">
        <f>IF(D58&lt;14, 0, IF(AND(D58&gt;20,$B$4&lt;3,$B$3&lt;2), 'Vstupní hodnoty'!K$6, IF(AND(D58&gt;20, $B$4&lt;3, $B$3&lt;4), 'Vstupní hodnoty'!$K$5, 'Vstupní hodnoty'!$K$4)))</f>
        <v>27000</v>
      </c>
      <c r="I58">
        <f>IF($B$7=1, 'Vstupní hodnoty'!J$4*(2/3)/30*Model!D58, 0)</f>
        <v>0</v>
      </c>
      <c r="J58">
        <f>IF(Model!$B$5&gt;12,'Vstupní hodnoty'!$H$8*Model!D58,IF(Model!$B$5&gt;9,'Vstupní hodnoty'!$H$7*Model!D58,IF(Model!$B$5&gt;6,'Vstupní hodnoty'!$H$6*Model!D58,IF(Model!$B$5&gt;3,'Vstupní hodnoty'!$H$5*Model!D58,IF(Model!$B$5&gt;1,'Vstupní hodnoty'!$H$4*Model!D58,0)))))</f>
        <v>11115</v>
      </c>
      <c r="K58" s="5">
        <f>F58+G58+H58+E58*'Vstupní hodnoty'!L$4+J58*'Vstupní hodnoty'!L$4+I58*'Vstupní hodnoty'!L$4</f>
        <v>136008.70238095237</v>
      </c>
      <c r="L58" s="5">
        <f t="shared" si="1"/>
        <v>2092.441575091575</v>
      </c>
      <c r="X58" s="14">
        <v>65</v>
      </c>
      <c r="Y58" s="5">
        <f>INDEX('Vstupní hodnoty'!$A$4:$A$15, MATCH(Model!$V$2,'Vstupní hodnoty'!$B$4:$B$15,0))/30*(X58+1*X58/7)</f>
        <v>114226.66666666669</v>
      </c>
      <c r="Z58">
        <f t="shared" si="2"/>
        <v>0</v>
      </c>
      <c r="AA58">
        <f t="shared" si="13"/>
        <v>24000</v>
      </c>
      <c r="AB58">
        <f>IF(X58&lt;14, 0, IF(AND(X58&gt;20,$V$4&lt;3,$V$3&lt;2), 'Vstupní hodnoty'!$I$6, IF(AND(X58&gt;20, $V$4&lt;4, $V$3&lt;4), 'Vstupní hodnoty'!$I$5, 'Vstupní hodnoty'!$I$4)))</f>
        <v>27000</v>
      </c>
      <c r="AC58">
        <f>IF($V$7=1, 'Vstupní hodnoty'!$J$4*(2/3)/30*Model!X58, 0)</f>
        <v>0</v>
      </c>
      <c r="AD58">
        <f>IF(Model!$V$5&gt;12,'Vstupní hodnoty'!$H$8*Model!X58,IF(Model!$V$5&gt;9,'Vstupní hodnoty'!$H$7*Model!X58,IF(Model!$V$5&gt;6,'Vstupní hodnoty'!$H$6*Model!X58,IF(Model!$V$5&gt;3,'Vstupní hodnoty'!$H$5*Model!X58,IF(Model!$V$5&gt;1,'Vstupní hodnoty'!$H$4*Model!X58,0)))))</f>
        <v>16705</v>
      </c>
      <c r="AE58" s="5">
        <f>Z58+AA58+AB58+Y58*'Vstupní hodnoty'!L$4+AD58*'Vstupní hodnoty'!L$4+AC58*'Vstupní hodnoty'!L$4</f>
        <v>162291.91666666669</v>
      </c>
      <c r="AF58" s="5">
        <f t="shared" si="4"/>
        <v>2496.7987179487181</v>
      </c>
      <c r="AK58" s="14">
        <v>65</v>
      </c>
      <c r="AL58" s="5">
        <f>INDEX('Vstupní hodnoty'!$A$4:$A$15, MATCH(Model!$AI$2,'Vstupní hodnoty'!$B$4:$B$15,0))/30*(AK58+1*AK58/7)</f>
        <v>114226.66666666669</v>
      </c>
      <c r="AM58">
        <f t="shared" si="5"/>
        <v>0</v>
      </c>
      <c r="AN58">
        <f t="shared" si="14"/>
        <v>24000</v>
      </c>
      <c r="AO58">
        <f>IF(OR(AK58&lt;14, AI$3=4, AI$4=4),0,IF(AK58&lt;21,'Vstupní hodnoty'!N$4,IF(AK58&lt;28,'Vstupní hodnoty'!N$5,IF(AK58&lt;35,'Vstupní hodnoty'!N$6,'Vstupní hodnoty'!N$6))))+IF(OR(AK58&lt;21, AI$4=4),0,IF(AI$3&lt;2,'Vstupní hodnoty'!O$6*'Vstupní hodnoty'!$A$17*(AK58-20),IF(Model!AI$3&lt;3,'Vstupní hodnoty'!O$5*'Vstupní hodnoty'!$A$17*(AK58-20),IF(Model!AI$3&lt;4,'Vstupní hodnoty'!O$4*'Vstupní hodnoty'!$A$17*(AK58-20),0))))+IF(OR(AK58&lt;21, AI$3=4), 0, IF(AI$4=1, 'Vstupní hodnoty'!P$6, IF(Model!AI$4=2, 'Vstupní hodnoty'!P$5, IF(Model!AI$4=3, 'Vstupní hodnoty'!P$4, 0))))</f>
        <v>53040</v>
      </c>
      <c r="AP58">
        <f>IF($AI$7=1, 'Vstupní hodnoty'!J$4*(2/3)/30*Model!AK58, 0)</f>
        <v>0</v>
      </c>
      <c r="AQ58">
        <f>IF(Model!$AI$5&gt;12,'Vstupní hodnoty'!$H$8*Model!AK58,IF(Model!$AI$5&gt;9,'Vstupní hodnoty'!$H$7*Model!AK58,IF(Model!$AI$5&gt;6,'Vstupní hodnoty'!$H$6*Model!AK58,IF(Model!$AI$5&gt;3,'Vstupní hodnoty'!$H$5*Model!AK58,IF(Model!$AI$5&gt;1,'Vstupní hodnoty'!$H$4*Model!AK58,0)))))</f>
        <v>16705</v>
      </c>
      <c r="AR58" s="5">
        <f>AM58+AN58+AO58+AL58*'Vstupní hodnoty'!L$4+AQ58*'Vstupní hodnoty'!L$4+AP58*'Vstupní hodnoty'!L$4</f>
        <v>188331.91666666669</v>
      </c>
      <c r="AS58" s="5">
        <f t="shared" si="7"/>
        <v>2897.4141025641029</v>
      </c>
      <c r="AX58" s="14">
        <v>65</v>
      </c>
      <c r="AY58" s="5">
        <f>INDEX('Vstupní hodnoty'!$A$4:$A$15, MATCH(Model!$AV$2,'Vstupní hodnoty'!$B$4:$B$15,0))/30*(AX58+1*AX58/7)</f>
        <v>88895.238095238106</v>
      </c>
      <c r="AZ58">
        <f t="shared" si="8"/>
        <v>0</v>
      </c>
      <c r="BA58">
        <f t="shared" si="15"/>
        <v>24000</v>
      </c>
      <c r="BB58" s="5">
        <f>IF(OR(AV$3=4,AV$4=4),0,'Roční bonus alt 2'!D57)+IF(OR(AX58&lt;21,AV$3=4,AV$4=4),0,IF(AV$3&lt;2,'Vstupní hodnoty'!O$6*'Vstupní hodnoty'!$A$17*(Model!AX58-20),IF(Model!AV$3&lt;3,'Vstupní hodnoty'!O$5*'Vstupní hodnoty'!$A$17*(Model!AX58-20),IF(Model!AV$3&lt;4,'Vstupní hodnoty'!O$4*'Vstupní hodnoty'!$A$17*(Model!AX58-20),0))))+IF(OR(AX58&lt;21,AV$3=4,AV$4=4),0,IF(AV$4=1,'Vstupní hodnoty'!P$6,IF(Model!AV$4=2,'Vstupní hodnoty'!P$5,IF(Model!AV$4=3,'Vstupní hodnoty'!P$4,0))))</f>
        <v>91866.666666666657</v>
      </c>
      <c r="BC58">
        <f>IF($AV$7=1, 'Vstupní hodnoty'!J$4*(2/3)/30*Model!AX58, 0)</f>
        <v>0</v>
      </c>
      <c r="BD58">
        <f>IF(Model!$AV$5&gt;12,'Vstupní hodnoty'!$Q$8*Model!AX58,IF(Model!$AV$5&gt;9,'Vstupní hodnoty'!$Q$7*Model!AX58,IF(Model!$AV$5&gt;6,'Vstupní hodnoty'!$Q$6*Model!AX58,IF(Model!$AV$5&gt;3,'Vstupní hodnoty'!$Q$5*Model!AX58,IF(Model!$AV$5&gt;1,'Vstupní hodnoty'!$Q$4*Model!AX58,0)))))</f>
        <v>20280</v>
      </c>
      <c r="BE58" s="5">
        <f>AZ58+BA58+BB58+AY58*'Vstupní hodnoty'!L$4+BD58*'Vstupní hodnoty'!L$4+BC58*'Vstupní hodnoty'!L$4</f>
        <v>208665.61904761905</v>
      </c>
      <c r="BF58" s="5">
        <f t="shared" si="10"/>
        <v>3210.2402930402932</v>
      </c>
    </row>
    <row r="59" spans="4:58" x14ac:dyDescent="0.2">
      <c r="D59" s="14">
        <v>66</v>
      </c>
      <c r="E59" s="5">
        <f>INDEX('Vstupní hodnoty'!$A$4:$A$15, MATCH(Model!$B$2,'Vstupní hodnoty'!$B$4:$B$15,0))/30*(D59+1*D59/7)</f>
        <v>90262.857142857145</v>
      </c>
      <c r="F59">
        <f t="shared" si="0"/>
        <v>0</v>
      </c>
      <c r="G59">
        <f t="shared" si="12"/>
        <v>24000</v>
      </c>
      <c r="H59">
        <f>IF(D59&lt;14, 0, IF(AND(D59&gt;20,$B$4&lt;3,$B$3&lt;2), 'Vstupní hodnoty'!K$6, IF(AND(D59&gt;20, $B$4&lt;3, $B$3&lt;4), 'Vstupní hodnoty'!$K$5, 'Vstupní hodnoty'!$K$4)))</f>
        <v>27000</v>
      </c>
      <c r="I59">
        <f>IF($B$7=1, 'Vstupní hodnoty'!J$4*(2/3)/30*Model!D59, 0)</f>
        <v>0</v>
      </c>
      <c r="J59">
        <f>IF(Model!$B$5&gt;12,'Vstupní hodnoty'!$H$8*Model!D59,IF(Model!$B$5&gt;9,'Vstupní hodnoty'!$H$7*Model!D59,IF(Model!$B$5&gt;6,'Vstupní hodnoty'!$H$6*Model!D59,IF(Model!$B$5&gt;3,'Vstupní hodnoty'!$H$5*Model!D59,IF(Model!$B$5&gt;1,'Vstupní hodnoty'!$H$4*Model!D59,0)))))</f>
        <v>11286</v>
      </c>
      <c r="K59" s="5">
        <f>F59+G59+H59+E59*'Vstupní hodnoty'!L$4+J59*'Vstupní hodnoty'!L$4+I59*'Vstupní hodnoty'!L$4</f>
        <v>137316.52857142856</v>
      </c>
      <c r="L59" s="5">
        <f t="shared" si="1"/>
        <v>2080.5534632034628</v>
      </c>
      <c r="X59" s="14">
        <v>66</v>
      </c>
      <c r="Y59" s="5">
        <f>INDEX('Vstupní hodnoty'!$A$4:$A$15, MATCH(Model!$V$2,'Vstupní hodnoty'!$B$4:$B$15,0))/30*(X59+1*X59/7)</f>
        <v>115984.00000000001</v>
      </c>
      <c r="Z59">
        <f t="shared" si="2"/>
        <v>0</v>
      </c>
      <c r="AA59">
        <f t="shared" si="13"/>
        <v>24000</v>
      </c>
      <c r="AB59">
        <f>IF(X59&lt;14, 0, IF(AND(X59&gt;20,$V$4&lt;3,$V$3&lt;2), 'Vstupní hodnoty'!$I$6, IF(AND(X59&gt;20, $V$4&lt;4, $V$3&lt;4), 'Vstupní hodnoty'!$I$5, 'Vstupní hodnoty'!$I$4)))</f>
        <v>27000</v>
      </c>
      <c r="AC59">
        <f>IF($V$7=1, 'Vstupní hodnoty'!$J$4*(2/3)/30*Model!X59, 0)</f>
        <v>0</v>
      </c>
      <c r="AD59">
        <f>IF(Model!$V$5&gt;12,'Vstupní hodnoty'!$H$8*Model!X59,IF(Model!$V$5&gt;9,'Vstupní hodnoty'!$H$7*Model!X59,IF(Model!$V$5&gt;6,'Vstupní hodnoty'!$H$6*Model!X59,IF(Model!$V$5&gt;3,'Vstupní hodnoty'!$H$5*Model!X59,IF(Model!$V$5&gt;1,'Vstupní hodnoty'!$H$4*Model!X59,0)))))</f>
        <v>16962</v>
      </c>
      <c r="AE59" s="5">
        <f>Z59+AA59+AB59+Y59*'Vstupní hodnoty'!L$4+AD59*'Vstupní hodnoty'!L$4+AC59*'Vstupní hodnoty'!L$4</f>
        <v>164004.10000000003</v>
      </c>
      <c r="AF59" s="5">
        <f t="shared" si="4"/>
        <v>2484.9106060606064</v>
      </c>
      <c r="AK59" s="14">
        <v>66</v>
      </c>
      <c r="AL59" s="5">
        <f>INDEX('Vstupní hodnoty'!$A$4:$A$15, MATCH(Model!$AI$2,'Vstupní hodnoty'!$B$4:$B$15,0))/30*(AK59+1*AK59/7)</f>
        <v>115984.00000000001</v>
      </c>
      <c r="AM59">
        <f t="shared" si="5"/>
        <v>0</v>
      </c>
      <c r="AN59">
        <f t="shared" si="14"/>
        <v>24000</v>
      </c>
      <c r="AO59">
        <f>IF(OR(AK59&lt;14, AI$3=4, AI$4=4),0,IF(AK59&lt;21,'Vstupní hodnoty'!N$4,IF(AK59&lt;28,'Vstupní hodnoty'!N$5,IF(AK59&lt;35,'Vstupní hodnoty'!N$6,'Vstupní hodnoty'!N$6))))+IF(OR(AK59&lt;21, AI$4=4),0,IF(AI$3&lt;2,'Vstupní hodnoty'!O$6*'Vstupní hodnoty'!$A$17*(AK59-20),IF(Model!AI$3&lt;3,'Vstupní hodnoty'!O$5*'Vstupní hodnoty'!$A$17*(AK59-20),IF(Model!AI$3&lt;4,'Vstupní hodnoty'!O$4*'Vstupní hodnoty'!$A$17*(AK59-20),0))))+IF(OR(AK59&lt;21, AI$3=4), 0, IF(AI$4=1, 'Vstupní hodnoty'!P$6, IF(Model!AI$4=2, 'Vstupní hodnoty'!P$5, IF(Model!AI$4=3, 'Vstupní hodnoty'!P$4, 0))))</f>
        <v>53248</v>
      </c>
      <c r="AP59">
        <f>IF($AI$7=1, 'Vstupní hodnoty'!J$4*(2/3)/30*Model!AK59, 0)</f>
        <v>0</v>
      </c>
      <c r="AQ59">
        <f>IF(Model!$AI$5&gt;12,'Vstupní hodnoty'!$H$8*Model!AK59,IF(Model!$AI$5&gt;9,'Vstupní hodnoty'!$H$7*Model!AK59,IF(Model!$AI$5&gt;6,'Vstupní hodnoty'!$H$6*Model!AK59,IF(Model!$AI$5&gt;3,'Vstupní hodnoty'!$H$5*Model!AK59,IF(Model!$AI$5&gt;1,'Vstupní hodnoty'!$H$4*Model!AK59,0)))))</f>
        <v>16962</v>
      </c>
      <c r="AR59" s="5">
        <f>AM59+AN59+AO59+AL59*'Vstupní hodnoty'!L$4+AQ59*'Vstupní hodnoty'!L$4+AP59*'Vstupní hodnoty'!L$4</f>
        <v>190252.10000000003</v>
      </c>
      <c r="AS59" s="5">
        <f t="shared" si="7"/>
        <v>2882.6075757575763</v>
      </c>
      <c r="AX59" s="14">
        <v>66</v>
      </c>
      <c r="AY59" s="5">
        <f>INDEX('Vstupní hodnoty'!$A$4:$A$15, MATCH(Model!$AV$2,'Vstupní hodnoty'!$B$4:$B$15,0))/30*(AX59+1*AX59/7)</f>
        <v>90262.857142857145</v>
      </c>
      <c r="AZ59">
        <f t="shared" si="8"/>
        <v>0</v>
      </c>
      <c r="BA59">
        <f t="shared" si="15"/>
        <v>24000</v>
      </c>
      <c r="BB59" s="5">
        <f>IF(OR(AV$3=4,AV$4=4),0,'Roční bonus alt 2'!D58)+IF(OR(AX59&lt;21,AV$3=4,AV$4=4),0,IF(AV$3&lt;2,'Vstupní hodnoty'!O$6*'Vstupní hodnoty'!$A$17*(Model!AX59-20),IF(Model!AV$3&lt;3,'Vstupní hodnoty'!O$5*'Vstupní hodnoty'!$A$17*(Model!AX59-20),IF(Model!AV$3&lt;4,'Vstupní hodnoty'!O$4*'Vstupní hodnoty'!$A$17*(Model!AX59-20),0))))+IF(OR(AX59&lt;21,AV$3=4,AV$4=4),0,IF(AV$4=1,'Vstupní hodnoty'!P$6,IF(Model!AV$4=2,'Vstupní hodnoty'!P$5,IF(Model!AV$4=3,'Vstupní hodnoty'!P$4,0))))</f>
        <v>93461.333333333343</v>
      </c>
      <c r="BC59">
        <f>IF($AV$7=1, 'Vstupní hodnoty'!J$4*(2/3)/30*Model!AX59, 0)</f>
        <v>0</v>
      </c>
      <c r="BD59">
        <f>IF(Model!$AV$5&gt;12,'Vstupní hodnoty'!$Q$8*Model!AX59,IF(Model!$AV$5&gt;9,'Vstupní hodnoty'!$Q$7*Model!AX59,IF(Model!$AV$5&gt;6,'Vstupní hodnoty'!$Q$6*Model!AX59,IF(Model!$AV$5&gt;3,'Vstupní hodnoty'!$Q$5*Model!AX59,IF(Model!$AV$5&gt;1,'Vstupní hodnoty'!$Q$4*Model!AX59,0)))))</f>
        <v>20592</v>
      </c>
      <c r="BE59" s="5">
        <f>AZ59+BA59+BB59+AY59*'Vstupní hodnoty'!L$4+BD59*'Vstupní hodnoty'!L$4+BC59*'Vstupní hodnoty'!L$4</f>
        <v>211687.96190476191</v>
      </c>
      <c r="BF59" s="5">
        <f t="shared" si="10"/>
        <v>3207.393362193362</v>
      </c>
    </row>
    <row r="60" spans="4:58" x14ac:dyDescent="0.2">
      <c r="D60" s="14">
        <v>67</v>
      </c>
      <c r="E60" s="5">
        <f>INDEX('Vstupní hodnoty'!$A$4:$A$15, MATCH(Model!$B$2,'Vstupní hodnoty'!$B$4:$B$15,0))/30*(D60+1*D60/7)</f>
        <v>91630.476190476198</v>
      </c>
      <c r="F60">
        <f t="shared" si="0"/>
        <v>0</v>
      </c>
      <c r="G60">
        <f t="shared" si="12"/>
        <v>24000</v>
      </c>
      <c r="H60">
        <f>IF(D60&lt;14, 0, IF(AND(D60&gt;20,$B$4&lt;3,$B$3&lt;2), 'Vstupní hodnoty'!K$6, IF(AND(D60&gt;20, $B$4&lt;3, $B$3&lt;4), 'Vstupní hodnoty'!$K$5, 'Vstupní hodnoty'!$K$4)))</f>
        <v>27000</v>
      </c>
      <c r="I60">
        <f>IF($B$7=1, 'Vstupní hodnoty'!J$4*(2/3)/30*Model!D60, 0)</f>
        <v>0</v>
      </c>
      <c r="J60">
        <f>IF(Model!$B$5&gt;12,'Vstupní hodnoty'!$H$8*Model!D60,IF(Model!$B$5&gt;9,'Vstupní hodnoty'!$H$7*Model!D60,IF(Model!$B$5&gt;6,'Vstupní hodnoty'!$H$6*Model!D60,IF(Model!$B$5&gt;3,'Vstupní hodnoty'!$H$5*Model!D60,IF(Model!$B$5&gt;1,'Vstupní hodnoty'!$H$4*Model!D60,0)))))</f>
        <v>11457</v>
      </c>
      <c r="K60" s="5">
        <f>F60+G60+H60+E60*'Vstupní hodnoty'!L$4+J60*'Vstupní hodnoty'!L$4+I60*'Vstupní hodnoty'!L$4</f>
        <v>138624.35476190477</v>
      </c>
      <c r="L60" s="5">
        <f t="shared" si="1"/>
        <v>2069.0202203269369</v>
      </c>
      <c r="X60" s="14">
        <v>67</v>
      </c>
      <c r="Y60" s="5">
        <f>INDEX('Vstupní hodnoty'!$A$4:$A$15, MATCH(Model!$V$2,'Vstupní hodnoty'!$B$4:$B$15,0))/30*(X60+1*X60/7)</f>
        <v>117741.33333333334</v>
      </c>
      <c r="Z60">
        <f t="shared" si="2"/>
        <v>0</v>
      </c>
      <c r="AA60">
        <f t="shared" si="13"/>
        <v>24000</v>
      </c>
      <c r="AB60">
        <f>IF(X60&lt;14, 0, IF(AND(X60&gt;20,$V$4&lt;3,$V$3&lt;2), 'Vstupní hodnoty'!$I$6, IF(AND(X60&gt;20, $V$4&lt;4, $V$3&lt;4), 'Vstupní hodnoty'!$I$5, 'Vstupní hodnoty'!$I$4)))</f>
        <v>27000</v>
      </c>
      <c r="AC60">
        <f>IF($V$7=1, 'Vstupní hodnoty'!$J$4*(2/3)/30*Model!X60, 0)</f>
        <v>0</v>
      </c>
      <c r="AD60">
        <f>IF(Model!$V$5&gt;12,'Vstupní hodnoty'!$H$8*Model!X60,IF(Model!$V$5&gt;9,'Vstupní hodnoty'!$H$7*Model!X60,IF(Model!$V$5&gt;6,'Vstupní hodnoty'!$H$6*Model!X60,IF(Model!$V$5&gt;3,'Vstupní hodnoty'!$H$5*Model!X60,IF(Model!$V$5&gt;1,'Vstupní hodnoty'!$H$4*Model!X60,0)))))</f>
        <v>17219</v>
      </c>
      <c r="AE60" s="5">
        <f>Z60+AA60+AB60+Y60*'Vstupní hodnoty'!L$4+AD60*'Vstupní hodnoty'!L$4+AC60*'Vstupní hodnoty'!L$4</f>
        <v>165716.28333333335</v>
      </c>
      <c r="AF60" s="5">
        <f t="shared" si="4"/>
        <v>2473.37736318408</v>
      </c>
      <c r="AK60" s="14">
        <v>67</v>
      </c>
      <c r="AL60" s="5">
        <f>INDEX('Vstupní hodnoty'!$A$4:$A$15, MATCH(Model!$AI$2,'Vstupní hodnoty'!$B$4:$B$15,0))/30*(AK60+1*AK60/7)</f>
        <v>117741.33333333334</v>
      </c>
      <c r="AM60">
        <f t="shared" si="5"/>
        <v>0</v>
      </c>
      <c r="AN60">
        <f t="shared" si="14"/>
        <v>24000</v>
      </c>
      <c r="AO60">
        <f>IF(OR(AK60&lt;14, AI$3=4, AI$4=4),0,IF(AK60&lt;21,'Vstupní hodnoty'!N$4,IF(AK60&lt;28,'Vstupní hodnoty'!N$5,IF(AK60&lt;35,'Vstupní hodnoty'!N$6,'Vstupní hodnoty'!N$6))))+IF(OR(AK60&lt;21, AI$4=4),0,IF(AI$3&lt;2,'Vstupní hodnoty'!O$6*'Vstupní hodnoty'!$A$17*(AK60-20),IF(Model!AI$3&lt;3,'Vstupní hodnoty'!O$5*'Vstupní hodnoty'!$A$17*(AK60-20),IF(Model!AI$3&lt;4,'Vstupní hodnoty'!O$4*'Vstupní hodnoty'!$A$17*(AK60-20),0))))+IF(OR(AK60&lt;21, AI$3=4), 0, IF(AI$4=1, 'Vstupní hodnoty'!P$6, IF(Model!AI$4=2, 'Vstupní hodnoty'!P$5, IF(Model!AI$4=3, 'Vstupní hodnoty'!P$4, 0))))</f>
        <v>53456</v>
      </c>
      <c r="AP60">
        <f>IF($AI$7=1, 'Vstupní hodnoty'!J$4*(2/3)/30*Model!AK60, 0)</f>
        <v>0</v>
      </c>
      <c r="AQ60">
        <f>IF(Model!$AI$5&gt;12,'Vstupní hodnoty'!$H$8*Model!AK60,IF(Model!$AI$5&gt;9,'Vstupní hodnoty'!$H$7*Model!AK60,IF(Model!$AI$5&gt;6,'Vstupní hodnoty'!$H$6*Model!AK60,IF(Model!$AI$5&gt;3,'Vstupní hodnoty'!$H$5*Model!AK60,IF(Model!$AI$5&gt;1,'Vstupní hodnoty'!$H$4*Model!AK60,0)))))</f>
        <v>17219</v>
      </c>
      <c r="AR60" s="5">
        <f>AM60+AN60+AO60+AL60*'Vstupní hodnoty'!L$4+AQ60*'Vstupní hodnoty'!L$4+AP60*'Vstupní hodnoty'!L$4</f>
        <v>192172.28333333335</v>
      </c>
      <c r="AS60" s="5">
        <f t="shared" si="7"/>
        <v>2868.2430348258708</v>
      </c>
      <c r="AX60" s="14">
        <v>67</v>
      </c>
      <c r="AY60" s="5">
        <f>INDEX('Vstupní hodnoty'!$A$4:$A$15, MATCH(Model!$AV$2,'Vstupní hodnoty'!$B$4:$B$15,0))/30*(AX60+1*AX60/7)</f>
        <v>91630.476190476198</v>
      </c>
      <c r="AZ60">
        <f t="shared" si="8"/>
        <v>0</v>
      </c>
      <c r="BA60">
        <f t="shared" si="15"/>
        <v>24000</v>
      </c>
      <c r="BB60" s="5">
        <f>IF(OR(AV$3=4,AV$4=4),0,'Roční bonus alt 2'!D59)+IF(OR(AX60&lt;21,AV$3=4,AV$4=4),0,IF(AV$3&lt;2,'Vstupní hodnoty'!O$6*'Vstupní hodnoty'!$A$17*(Model!AX60-20),IF(Model!AV$3&lt;3,'Vstupní hodnoty'!O$5*'Vstupní hodnoty'!$A$17*(Model!AX60-20),IF(Model!AV$3&lt;4,'Vstupní hodnoty'!O$4*'Vstupní hodnoty'!$A$17*(Model!AX60-20),0))))+IF(OR(AX60&lt;21,AV$3=4,AV$4=4),0,IF(AV$4=1,'Vstupní hodnoty'!P$6,IF(Model!AV$4=2,'Vstupní hodnoty'!P$5,IF(Model!AV$4=3,'Vstupní hodnoty'!P$4,0))))</f>
        <v>95056</v>
      </c>
      <c r="BC60">
        <f>IF($AV$7=1, 'Vstupní hodnoty'!J$4*(2/3)/30*Model!AX60, 0)</f>
        <v>0</v>
      </c>
      <c r="BD60">
        <f>IF(Model!$AV$5&gt;12,'Vstupní hodnoty'!$Q$8*Model!AX60,IF(Model!$AV$5&gt;9,'Vstupní hodnoty'!$Q$7*Model!AX60,IF(Model!$AV$5&gt;6,'Vstupní hodnoty'!$Q$6*Model!AX60,IF(Model!$AV$5&gt;3,'Vstupní hodnoty'!$Q$5*Model!AX60,IF(Model!$AV$5&gt;1,'Vstupní hodnoty'!$Q$4*Model!AX60,0)))))</f>
        <v>20904</v>
      </c>
      <c r="BE60" s="5">
        <f>AZ60+BA60+BB60+AY60*'Vstupní hodnoty'!L$4+BD60*'Vstupní hodnoty'!L$4+BC60*'Vstupní hodnoty'!L$4</f>
        <v>214710.30476190476</v>
      </c>
      <c r="BF60" s="5">
        <f t="shared" si="10"/>
        <v>3204.6314143567874</v>
      </c>
    </row>
    <row r="61" spans="4:58" x14ac:dyDescent="0.2">
      <c r="D61" s="14">
        <v>68</v>
      </c>
      <c r="E61" s="5">
        <f>INDEX('Vstupní hodnoty'!$A$4:$A$15, MATCH(Model!$B$2,'Vstupní hodnoty'!$B$4:$B$15,0))/30*(D61+1*D61/7)</f>
        <v>92998.095238095237</v>
      </c>
      <c r="F61">
        <f t="shared" si="0"/>
        <v>0</v>
      </c>
      <c r="G61">
        <f t="shared" si="12"/>
        <v>24000</v>
      </c>
      <c r="H61">
        <f>IF(D61&lt;14, 0, IF(AND(D61&gt;20,$B$4&lt;3,$B$3&lt;2), 'Vstupní hodnoty'!K$6, IF(AND(D61&gt;20, $B$4&lt;3, $B$3&lt;4), 'Vstupní hodnoty'!$K$5, 'Vstupní hodnoty'!$K$4)))</f>
        <v>27000</v>
      </c>
      <c r="I61">
        <f>IF($B$7=1, 'Vstupní hodnoty'!J$4*(2/3)/30*Model!D61, 0)</f>
        <v>0</v>
      </c>
      <c r="J61">
        <f>IF(Model!$B$5&gt;12,'Vstupní hodnoty'!$H$8*Model!D61,IF(Model!$B$5&gt;9,'Vstupní hodnoty'!$H$7*Model!D61,IF(Model!$B$5&gt;6,'Vstupní hodnoty'!$H$6*Model!D61,IF(Model!$B$5&gt;3,'Vstupní hodnoty'!$H$5*Model!D61,IF(Model!$B$5&gt;1,'Vstupní hodnoty'!$H$4*Model!D61,0)))))</f>
        <v>11628</v>
      </c>
      <c r="K61" s="5">
        <f>F61+G61+H61+E61*'Vstupní hodnoty'!L$4+J61*'Vstupní hodnoty'!L$4+I61*'Vstupní hodnoty'!L$4</f>
        <v>139932.18095238094</v>
      </c>
      <c r="L61" s="5">
        <f t="shared" si="1"/>
        <v>2057.8261904761903</v>
      </c>
      <c r="X61" s="14">
        <v>68</v>
      </c>
      <c r="Y61" s="5">
        <f>INDEX('Vstupní hodnoty'!$A$4:$A$15, MATCH(Model!$V$2,'Vstupní hodnoty'!$B$4:$B$15,0))/30*(X61+1*X61/7)</f>
        <v>119498.66666666666</v>
      </c>
      <c r="Z61">
        <f t="shared" si="2"/>
        <v>0</v>
      </c>
      <c r="AA61">
        <f t="shared" si="13"/>
        <v>24000</v>
      </c>
      <c r="AB61">
        <f>IF(X61&lt;14, 0, IF(AND(X61&gt;20,$V$4&lt;3,$V$3&lt;2), 'Vstupní hodnoty'!$I$6, IF(AND(X61&gt;20, $V$4&lt;4, $V$3&lt;4), 'Vstupní hodnoty'!$I$5, 'Vstupní hodnoty'!$I$4)))</f>
        <v>27000</v>
      </c>
      <c r="AC61">
        <f>IF($V$7=1, 'Vstupní hodnoty'!$J$4*(2/3)/30*Model!X61, 0)</f>
        <v>0</v>
      </c>
      <c r="AD61">
        <f>IF(Model!$V$5&gt;12,'Vstupní hodnoty'!$H$8*Model!X61,IF(Model!$V$5&gt;9,'Vstupní hodnoty'!$H$7*Model!X61,IF(Model!$V$5&gt;6,'Vstupní hodnoty'!$H$6*Model!X61,IF(Model!$V$5&gt;3,'Vstupní hodnoty'!$H$5*Model!X61,IF(Model!$V$5&gt;1,'Vstupní hodnoty'!$H$4*Model!X61,0)))))</f>
        <v>17476</v>
      </c>
      <c r="AE61" s="5">
        <f>Z61+AA61+AB61+Y61*'Vstupní hodnoty'!L$4+AD61*'Vstupní hodnoty'!L$4+AC61*'Vstupní hodnoty'!L$4</f>
        <v>167428.46666666665</v>
      </c>
      <c r="AF61" s="5">
        <f t="shared" si="4"/>
        <v>2462.1833333333329</v>
      </c>
      <c r="AK61" s="14">
        <v>68</v>
      </c>
      <c r="AL61" s="5">
        <f>INDEX('Vstupní hodnoty'!$A$4:$A$15, MATCH(Model!$AI$2,'Vstupní hodnoty'!$B$4:$B$15,0))/30*(AK61+1*AK61/7)</f>
        <v>119498.66666666666</v>
      </c>
      <c r="AM61">
        <f t="shared" si="5"/>
        <v>0</v>
      </c>
      <c r="AN61">
        <f t="shared" si="14"/>
        <v>24000</v>
      </c>
      <c r="AO61">
        <f>IF(OR(AK61&lt;14, AI$3=4, AI$4=4),0,IF(AK61&lt;21,'Vstupní hodnoty'!N$4,IF(AK61&lt;28,'Vstupní hodnoty'!N$5,IF(AK61&lt;35,'Vstupní hodnoty'!N$6,'Vstupní hodnoty'!N$6))))+IF(OR(AK61&lt;21, AI$4=4),0,IF(AI$3&lt;2,'Vstupní hodnoty'!O$6*'Vstupní hodnoty'!$A$17*(AK61-20),IF(Model!AI$3&lt;3,'Vstupní hodnoty'!O$5*'Vstupní hodnoty'!$A$17*(AK61-20),IF(Model!AI$3&lt;4,'Vstupní hodnoty'!O$4*'Vstupní hodnoty'!$A$17*(AK61-20),0))))+IF(OR(AK61&lt;21, AI$3=4), 0, IF(AI$4=1, 'Vstupní hodnoty'!P$6, IF(Model!AI$4=2, 'Vstupní hodnoty'!P$5, IF(Model!AI$4=3, 'Vstupní hodnoty'!P$4, 0))))</f>
        <v>53664</v>
      </c>
      <c r="AP61">
        <f>IF($AI$7=1, 'Vstupní hodnoty'!J$4*(2/3)/30*Model!AK61, 0)</f>
        <v>0</v>
      </c>
      <c r="AQ61">
        <f>IF(Model!$AI$5&gt;12,'Vstupní hodnoty'!$H$8*Model!AK61,IF(Model!$AI$5&gt;9,'Vstupní hodnoty'!$H$7*Model!AK61,IF(Model!$AI$5&gt;6,'Vstupní hodnoty'!$H$6*Model!AK61,IF(Model!$AI$5&gt;3,'Vstupní hodnoty'!$H$5*Model!AK61,IF(Model!$AI$5&gt;1,'Vstupní hodnoty'!$H$4*Model!AK61,0)))))</f>
        <v>17476</v>
      </c>
      <c r="AR61" s="5">
        <f>AM61+AN61+AO61+AL61*'Vstupní hodnoty'!L$4+AQ61*'Vstupní hodnoty'!L$4+AP61*'Vstupní hodnoty'!L$4</f>
        <v>194092.46666666665</v>
      </c>
      <c r="AS61" s="5">
        <f t="shared" si="7"/>
        <v>2854.3009803921564</v>
      </c>
      <c r="AX61" s="14">
        <v>68</v>
      </c>
      <c r="AY61" s="5">
        <f>INDEX('Vstupní hodnoty'!$A$4:$A$15, MATCH(Model!$AV$2,'Vstupní hodnoty'!$B$4:$B$15,0))/30*(AX61+1*AX61/7)</f>
        <v>92998.095238095237</v>
      </c>
      <c r="AZ61">
        <f t="shared" si="8"/>
        <v>0</v>
      </c>
      <c r="BA61">
        <f t="shared" si="15"/>
        <v>24000</v>
      </c>
      <c r="BB61" s="5">
        <f>IF(OR(AV$3=4,AV$4=4),0,'Roční bonus alt 2'!D60)+IF(OR(AX61&lt;21,AV$3=4,AV$4=4),0,IF(AV$3&lt;2,'Vstupní hodnoty'!O$6*'Vstupní hodnoty'!$A$17*(Model!AX61-20),IF(Model!AV$3&lt;3,'Vstupní hodnoty'!O$5*'Vstupní hodnoty'!$A$17*(Model!AX61-20),IF(Model!AV$3&lt;4,'Vstupní hodnoty'!O$4*'Vstupní hodnoty'!$A$17*(Model!AX61-20),0))))+IF(OR(AX61&lt;21,AV$3=4,AV$4=4),0,IF(AV$4=1,'Vstupní hodnoty'!P$6,IF(Model!AV$4=2,'Vstupní hodnoty'!P$5,IF(Model!AV$4=3,'Vstupní hodnoty'!P$4,0))))</f>
        <v>96650.666666666672</v>
      </c>
      <c r="BC61">
        <f>IF($AV$7=1, 'Vstupní hodnoty'!J$4*(2/3)/30*Model!AX61, 0)</f>
        <v>0</v>
      </c>
      <c r="BD61">
        <f>IF(Model!$AV$5&gt;12,'Vstupní hodnoty'!$Q$8*Model!AX61,IF(Model!$AV$5&gt;9,'Vstupní hodnoty'!$Q$7*Model!AX61,IF(Model!$AV$5&gt;6,'Vstupní hodnoty'!$Q$6*Model!AX61,IF(Model!$AV$5&gt;3,'Vstupní hodnoty'!$Q$5*Model!AX61,IF(Model!$AV$5&gt;1,'Vstupní hodnoty'!$Q$4*Model!AX61,0)))))</f>
        <v>21216</v>
      </c>
      <c r="BE61" s="5">
        <f>AZ61+BA61+BB61+AY61*'Vstupní hodnoty'!L$4+BD61*'Vstupní hodnoty'!L$4+BC61*'Vstupní hodnoty'!L$4</f>
        <v>217732.64761904764</v>
      </c>
      <c r="BF61" s="5">
        <f t="shared" si="10"/>
        <v>3201.9507002801124</v>
      </c>
    </row>
    <row r="62" spans="4:58" x14ac:dyDescent="0.2">
      <c r="D62" s="14">
        <v>69</v>
      </c>
      <c r="E62" s="5">
        <f>INDEX('Vstupní hodnoty'!$A$4:$A$15, MATCH(Model!$B$2,'Vstupní hodnoty'!$B$4:$B$15,0))/30*(D62+1*D62/7)</f>
        <v>94365.71428571429</v>
      </c>
      <c r="F62">
        <f t="shared" si="0"/>
        <v>0</v>
      </c>
      <c r="G62">
        <f t="shared" si="12"/>
        <v>24000</v>
      </c>
      <c r="H62">
        <f>IF(D62&lt;14, 0, IF(AND(D62&gt;20,$B$4&lt;3,$B$3&lt;2), 'Vstupní hodnoty'!K$6, IF(AND(D62&gt;20, $B$4&lt;3, $B$3&lt;4), 'Vstupní hodnoty'!$K$5, 'Vstupní hodnoty'!$K$4)))</f>
        <v>27000</v>
      </c>
      <c r="I62">
        <f>IF($B$7=1, 'Vstupní hodnoty'!J$4*(2/3)/30*Model!D62, 0)</f>
        <v>0</v>
      </c>
      <c r="J62">
        <f>IF(Model!$B$5&gt;12,'Vstupní hodnoty'!$H$8*Model!D62,IF(Model!$B$5&gt;9,'Vstupní hodnoty'!$H$7*Model!D62,IF(Model!$B$5&gt;6,'Vstupní hodnoty'!$H$6*Model!D62,IF(Model!$B$5&gt;3,'Vstupní hodnoty'!$H$5*Model!D62,IF(Model!$B$5&gt;1,'Vstupní hodnoty'!$H$4*Model!D62,0)))))</f>
        <v>11799</v>
      </c>
      <c r="K62" s="5">
        <f>F62+G62+H62+E62*'Vstupní hodnoty'!L$4+J62*'Vstupní hodnoty'!L$4+I62*'Vstupní hodnoty'!L$4</f>
        <v>141240.00714285715</v>
      </c>
      <c r="L62" s="5">
        <f t="shared" si="1"/>
        <v>2046.9566252587992</v>
      </c>
      <c r="X62" s="14">
        <v>69</v>
      </c>
      <c r="Y62" s="5">
        <f>INDEX('Vstupní hodnoty'!$A$4:$A$15, MATCH(Model!$V$2,'Vstupní hodnoty'!$B$4:$B$15,0))/30*(X62+1*X62/7)</f>
        <v>121256.00000000001</v>
      </c>
      <c r="Z62">
        <f t="shared" si="2"/>
        <v>0</v>
      </c>
      <c r="AA62">
        <f t="shared" si="13"/>
        <v>24000</v>
      </c>
      <c r="AB62">
        <f>IF(X62&lt;14, 0, IF(AND(X62&gt;20,$V$4&lt;3,$V$3&lt;2), 'Vstupní hodnoty'!$I$6, IF(AND(X62&gt;20, $V$4&lt;4, $V$3&lt;4), 'Vstupní hodnoty'!$I$5, 'Vstupní hodnoty'!$I$4)))</f>
        <v>27000</v>
      </c>
      <c r="AC62">
        <f>IF($V$7=1, 'Vstupní hodnoty'!$J$4*(2/3)/30*Model!X62, 0)</f>
        <v>0</v>
      </c>
      <c r="AD62">
        <f>IF(Model!$V$5&gt;12,'Vstupní hodnoty'!$H$8*Model!X62,IF(Model!$V$5&gt;9,'Vstupní hodnoty'!$H$7*Model!X62,IF(Model!$V$5&gt;6,'Vstupní hodnoty'!$H$6*Model!X62,IF(Model!$V$5&gt;3,'Vstupní hodnoty'!$H$5*Model!X62,IF(Model!$V$5&gt;1,'Vstupní hodnoty'!$H$4*Model!X62,0)))))</f>
        <v>17733</v>
      </c>
      <c r="AE62" s="5">
        <f>Z62+AA62+AB62+Y62*'Vstupní hodnoty'!L$4+AD62*'Vstupní hodnoty'!L$4+AC62*'Vstupní hodnoty'!L$4</f>
        <v>169140.65</v>
      </c>
      <c r="AF62" s="5">
        <f t="shared" si="4"/>
        <v>2451.3137681159419</v>
      </c>
      <c r="AK62" s="14">
        <v>69</v>
      </c>
      <c r="AL62" s="5">
        <f>INDEX('Vstupní hodnoty'!$A$4:$A$15, MATCH(Model!$AI$2,'Vstupní hodnoty'!$B$4:$B$15,0))/30*(AK62+1*AK62/7)</f>
        <v>121256.00000000001</v>
      </c>
      <c r="AM62">
        <f t="shared" si="5"/>
        <v>0</v>
      </c>
      <c r="AN62">
        <f t="shared" si="14"/>
        <v>24000</v>
      </c>
      <c r="AO62">
        <f>IF(OR(AK62&lt;14, AI$3=4, AI$4=4),0,IF(AK62&lt;21,'Vstupní hodnoty'!N$4,IF(AK62&lt;28,'Vstupní hodnoty'!N$5,IF(AK62&lt;35,'Vstupní hodnoty'!N$6,'Vstupní hodnoty'!N$6))))+IF(OR(AK62&lt;21, AI$4=4),0,IF(AI$3&lt;2,'Vstupní hodnoty'!O$6*'Vstupní hodnoty'!$A$17*(AK62-20),IF(Model!AI$3&lt;3,'Vstupní hodnoty'!O$5*'Vstupní hodnoty'!$A$17*(AK62-20),IF(Model!AI$3&lt;4,'Vstupní hodnoty'!O$4*'Vstupní hodnoty'!$A$17*(AK62-20),0))))+IF(OR(AK62&lt;21, AI$3=4), 0, IF(AI$4=1, 'Vstupní hodnoty'!P$6, IF(Model!AI$4=2, 'Vstupní hodnoty'!P$5, IF(Model!AI$4=3, 'Vstupní hodnoty'!P$4, 0))))</f>
        <v>53872</v>
      </c>
      <c r="AP62">
        <f>IF($AI$7=1, 'Vstupní hodnoty'!J$4*(2/3)/30*Model!AK62, 0)</f>
        <v>0</v>
      </c>
      <c r="AQ62">
        <f>IF(Model!$AI$5&gt;12,'Vstupní hodnoty'!$H$8*Model!AK62,IF(Model!$AI$5&gt;9,'Vstupní hodnoty'!$H$7*Model!AK62,IF(Model!$AI$5&gt;6,'Vstupní hodnoty'!$H$6*Model!AK62,IF(Model!$AI$5&gt;3,'Vstupní hodnoty'!$H$5*Model!AK62,IF(Model!$AI$5&gt;1,'Vstupní hodnoty'!$H$4*Model!AK62,0)))))</f>
        <v>17733</v>
      </c>
      <c r="AR62" s="5">
        <f>AM62+AN62+AO62+AL62*'Vstupní hodnoty'!L$4+AQ62*'Vstupní hodnoty'!L$4+AP62*'Vstupní hodnoty'!L$4</f>
        <v>196012.65</v>
      </c>
      <c r="AS62" s="5">
        <f t="shared" si="7"/>
        <v>2840.7630434782609</v>
      </c>
      <c r="AX62" s="14">
        <v>69</v>
      </c>
      <c r="AY62" s="5">
        <f>INDEX('Vstupní hodnoty'!$A$4:$A$15, MATCH(Model!$AV$2,'Vstupní hodnoty'!$B$4:$B$15,0))/30*(AX62+1*AX62/7)</f>
        <v>94365.71428571429</v>
      </c>
      <c r="AZ62">
        <f t="shared" si="8"/>
        <v>0</v>
      </c>
      <c r="BA62">
        <f t="shared" si="15"/>
        <v>24000</v>
      </c>
      <c r="BB62" s="5">
        <f>IF(OR(AV$3=4,AV$4=4),0,'Roční bonus alt 2'!D61)+IF(OR(AX62&lt;21,AV$3=4,AV$4=4),0,IF(AV$3&lt;2,'Vstupní hodnoty'!O$6*'Vstupní hodnoty'!$A$17*(Model!AX62-20),IF(Model!AV$3&lt;3,'Vstupní hodnoty'!O$5*'Vstupní hodnoty'!$A$17*(Model!AX62-20),IF(Model!AV$3&lt;4,'Vstupní hodnoty'!O$4*'Vstupní hodnoty'!$A$17*(Model!AX62-20),0))))+IF(OR(AX62&lt;21,AV$3=4,AV$4=4),0,IF(AV$4=1,'Vstupní hodnoty'!P$6,IF(Model!AV$4=2,'Vstupní hodnoty'!P$5,IF(Model!AV$4=3,'Vstupní hodnoty'!P$4,0))))</f>
        <v>98245.333333333343</v>
      </c>
      <c r="BC62">
        <f>IF($AV$7=1, 'Vstupní hodnoty'!J$4*(2/3)/30*Model!AX62, 0)</f>
        <v>0</v>
      </c>
      <c r="BD62">
        <f>IF(Model!$AV$5&gt;12,'Vstupní hodnoty'!$Q$8*Model!AX62,IF(Model!$AV$5&gt;9,'Vstupní hodnoty'!$Q$7*Model!AX62,IF(Model!$AV$5&gt;6,'Vstupní hodnoty'!$Q$6*Model!AX62,IF(Model!$AV$5&gt;3,'Vstupní hodnoty'!$Q$5*Model!AX62,IF(Model!$AV$5&gt;1,'Vstupní hodnoty'!$Q$4*Model!AX62,0)))))</f>
        <v>21528</v>
      </c>
      <c r="BE62" s="5">
        <f>AZ62+BA62+BB62+AY62*'Vstupní hodnoty'!L$4+BD62*'Vstupní hodnoty'!L$4+BC62*'Vstupní hodnoty'!L$4</f>
        <v>220754.99047619046</v>
      </c>
      <c r="BF62" s="5">
        <f t="shared" si="10"/>
        <v>3199.3476880607313</v>
      </c>
    </row>
    <row r="63" spans="4:58" x14ac:dyDescent="0.2">
      <c r="D63" s="14">
        <v>70</v>
      </c>
      <c r="E63" s="5">
        <f>INDEX('Vstupní hodnoty'!$A$4:$A$15, MATCH(Model!$B$2,'Vstupní hodnoty'!$B$4:$B$15,0))/30*(D63+1*D63/7)</f>
        <v>95733.333333333343</v>
      </c>
      <c r="F63">
        <f t="shared" si="0"/>
        <v>0</v>
      </c>
      <c r="G63">
        <f t="shared" si="12"/>
        <v>24000</v>
      </c>
      <c r="H63">
        <f>IF(D63&lt;14, 0, IF(AND(D63&gt;20,$B$4&lt;3,$B$3&lt;2), 'Vstupní hodnoty'!K$6, IF(AND(D63&gt;20, $B$4&lt;3, $B$3&lt;4), 'Vstupní hodnoty'!$K$5, 'Vstupní hodnoty'!$K$4)))</f>
        <v>27000</v>
      </c>
      <c r="I63">
        <f>IF($B$7=1, 'Vstupní hodnoty'!J$4*(2/3)/30*Model!D63, 0)</f>
        <v>0</v>
      </c>
      <c r="J63">
        <f>IF(Model!$B$5&gt;12,'Vstupní hodnoty'!$H$8*Model!D63,IF(Model!$B$5&gt;9,'Vstupní hodnoty'!$H$7*Model!D63,IF(Model!$B$5&gt;6,'Vstupní hodnoty'!$H$6*Model!D63,IF(Model!$B$5&gt;3,'Vstupní hodnoty'!$H$5*Model!D63,IF(Model!$B$5&gt;1,'Vstupní hodnoty'!$H$4*Model!D63,0)))))</f>
        <v>11970</v>
      </c>
      <c r="K63" s="5">
        <f>F63+G63+H63+E63*'Vstupní hodnoty'!L$4+J63*'Vstupní hodnoty'!L$4+I63*'Vstupní hodnoty'!L$4</f>
        <v>142547.83333333334</v>
      </c>
      <c r="L63" s="5">
        <f t="shared" si="1"/>
        <v>2036.3976190476192</v>
      </c>
      <c r="X63" s="14">
        <v>70</v>
      </c>
      <c r="Y63" s="5">
        <f>INDEX('Vstupní hodnoty'!$A$4:$A$15, MATCH(Model!$V$2,'Vstupní hodnoty'!$B$4:$B$15,0))/30*(X63+1*X63/7)</f>
        <v>123013.33333333334</v>
      </c>
      <c r="Z63">
        <f t="shared" si="2"/>
        <v>0</v>
      </c>
      <c r="AA63">
        <f t="shared" si="13"/>
        <v>24000</v>
      </c>
      <c r="AB63">
        <f>IF(X63&lt;14, 0, IF(AND(X63&gt;20,$V$4&lt;3,$V$3&lt;2), 'Vstupní hodnoty'!$I$6, IF(AND(X63&gt;20, $V$4&lt;4, $V$3&lt;4), 'Vstupní hodnoty'!$I$5, 'Vstupní hodnoty'!$I$4)))</f>
        <v>27000</v>
      </c>
      <c r="AC63">
        <f>IF($V$7=1, 'Vstupní hodnoty'!$J$4*(2/3)/30*Model!X63, 0)</f>
        <v>0</v>
      </c>
      <c r="AD63">
        <f>IF(Model!$V$5&gt;12,'Vstupní hodnoty'!$H$8*Model!X63,IF(Model!$V$5&gt;9,'Vstupní hodnoty'!$H$7*Model!X63,IF(Model!$V$5&gt;6,'Vstupní hodnoty'!$H$6*Model!X63,IF(Model!$V$5&gt;3,'Vstupní hodnoty'!$H$5*Model!X63,IF(Model!$V$5&gt;1,'Vstupní hodnoty'!$H$4*Model!X63,0)))))</f>
        <v>17990</v>
      </c>
      <c r="AE63" s="5">
        <f>Z63+AA63+AB63+Y63*'Vstupní hodnoty'!L$4+AD63*'Vstupní hodnoty'!L$4+AC63*'Vstupní hodnoty'!L$4</f>
        <v>170852.83333333334</v>
      </c>
      <c r="AF63" s="5">
        <f t="shared" si="4"/>
        <v>2440.7547619047618</v>
      </c>
      <c r="AK63" s="14">
        <v>70</v>
      </c>
      <c r="AL63" s="5">
        <f>INDEX('Vstupní hodnoty'!$A$4:$A$15, MATCH(Model!$AI$2,'Vstupní hodnoty'!$B$4:$B$15,0))/30*(AK63+1*AK63/7)</f>
        <v>123013.33333333334</v>
      </c>
      <c r="AM63">
        <f t="shared" si="5"/>
        <v>0</v>
      </c>
      <c r="AN63">
        <f t="shared" si="14"/>
        <v>24000</v>
      </c>
      <c r="AO63">
        <f>IF(OR(AK63&lt;14, AI$3=4, AI$4=4),0,IF(AK63&lt;21,'Vstupní hodnoty'!N$4,IF(AK63&lt;28,'Vstupní hodnoty'!N$5,IF(AK63&lt;35,'Vstupní hodnoty'!N$6,'Vstupní hodnoty'!N$6))))+IF(OR(AK63&lt;21, AI$4=4),0,IF(AI$3&lt;2,'Vstupní hodnoty'!O$6*'Vstupní hodnoty'!$A$17*(AK63-20),IF(Model!AI$3&lt;3,'Vstupní hodnoty'!O$5*'Vstupní hodnoty'!$A$17*(AK63-20),IF(Model!AI$3&lt;4,'Vstupní hodnoty'!O$4*'Vstupní hodnoty'!$A$17*(AK63-20),0))))+IF(OR(AK63&lt;21, AI$3=4), 0, IF(AI$4=1, 'Vstupní hodnoty'!P$6, IF(Model!AI$4=2, 'Vstupní hodnoty'!P$5, IF(Model!AI$4=3, 'Vstupní hodnoty'!P$4, 0))))</f>
        <v>54080</v>
      </c>
      <c r="AP63">
        <f>IF($AI$7=1, 'Vstupní hodnoty'!J$4*(2/3)/30*Model!AK63, 0)</f>
        <v>0</v>
      </c>
      <c r="AQ63">
        <f>IF(Model!$AI$5&gt;12,'Vstupní hodnoty'!$H$8*Model!AK63,IF(Model!$AI$5&gt;9,'Vstupní hodnoty'!$H$7*Model!AK63,IF(Model!$AI$5&gt;6,'Vstupní hodnoty'!$H$6*Model!AK63,IF(Model!$AI$5&gt;3,'Vstupní hodnoty'!$H$5*Model!AK63,IF(Model!$AI$5&gt;1,'Vstupní hodnoty'!$H$4*Model!AK63,0)))))</f>
        <v>17990</v>
      </c>
      <c r="AR63" s="5">
        <f>AM63+AN63+AO63+AL63*'Vstupní hodnoty'!L$4+AQ63*'Vstupní hodnoty'!L$4+AP63*'Vstupní hodnoty'!L$4</f>
        <v>197932.83333333334</v>
      </c>
      <c r="AS63" s="5">
        <f t="shared" si="7"/>
        <v>2827.611904761905</v>
      </c>
      <c r="AX63" s="14">
        <v>70</v>
      </c>
      <c r="AY63" s="5">
        <f>INDEX('Vstupní hodnoty'!$A$4:$A$15, MATCH(Model!$AV$2,'Vstupní hodnoty'!$B$4:$B$15,0))/30*(AX63+1*AX63/7)</f>
        <v>95733.333333333343</v>
      </c>
      <c r="AZ63">
        <f t="shared" si="8"/>
        <v>0</v>
      </c>
      <c r="BA63">
        <f t="shared" si="15"/>
        <v>24000</v>
      </c>
      <c r="BB63" s="5">
        <f>IF(OR(AV$3=4,AV$4=4),0,'Roční bonus alt 2'!D62)+IF(OR(AX63&lt;21,AV$3=4,AV$4=4),0,IF(AV$3&lt;2,'Vstupní hodnoty'!O$6*'Vstupní hodnoty'!$A$17*(Model!AX63-20),IF(Model!AV$3&lt;3,'Vstupní hodnoty'!O$5*'Vstupní hodnoty'!$A$17*(Model!AX63-20),IF(Model!AV$3&lt;4,'Vstupní hodnoty'!O$4*'Vstupní hodnoty'!$A$17*(Model!AX63-20),0))))+IF(OR(AX63&lt;21,AV$3=4,AV$4=4),0,IF(AV$4=1,'Vstupní hodnoty'!P$6,IF(Model!AV$4=2,'Vstupní hodnoty'!P$5,IF(Model!AV$4=3,'Vstupní hodnoty'!P$4,0))))</f>
        <v>99840</v>
      </c>
      <c r="BC63">
        <f>IF($AV$7=1, 'Vstupní hodnoty'!J$4*(2/3)/30*Model!AX63, 0)</f>
        <v>0</v>
      </c>
      <c r="BD63">
        <f>IF(Model!$AV$5&gt;12,'Vstupní hodnoty'!$Q$8*Model!AX63,IF(Model!$AV$5&gt;9,'Vstupní hodnoty'!$Q$7*Model!AX63,IF(Model!$AV$5&gt;6,'Vstupní hodnoty'!$Q$6*Model!AX63,IF(Model!$AV$5&gt;3,'Vstupní hodnoty'!$Q$5*Model!AX63,IF(Model!$AV$5&gt;1,'Vstupní hodnoty'!$Q$4*Model!AX63,0)))))</f>
        <v>21840</v>
      </c>
      <c r="BE63" s="5">
        <f>AZ63+BA63+BB63+AY63*'Vstupní hodnoty'!L$4+BD63*'Vstupní hodnoty'!L$4+BC63*'Vstupní hodnoty'!L$4</f>
        <v>223777.33333333334</v>
      </c>
      <c r="BF63" s="5">
        <f t="shared" si="10"/>
        <v>3196.819047619048</v>
      </c>
    </row>
    <row r="64" spans="4:58" x14ac:dyDescent="0.2">
      <c r="D64" s="14">
        <v>71</v>
      </c>
      <c r="E64" s="5">
        <f>INDEX('Vstupní hodnoty'!$A$4:$A$15, MATCH(Model!$B$2,'Vstupní hodnoty'!$B$4:$B$15,0))/30*(D64+1*D64/7)</f>
        <v>97100.952380952382</v>
      </c>
      <c r="F64">
        <f t="shared" si="0"/>
        <v>0</v>
      </c>
      <c r="G64">
        <f t="shared" si="12"/>
        <v>24000</v>
      </c>
      <c r="H64">
        <f>IF(D64&lt;14, 0, IF(AND(D64&gt;20,$B$4&lt;3,$B$3&lt;2), 'Vstupní hodnoty'!K$6, IF(AND(D64&gt;20, $B$4&lt;3, $B$3&lt;4), 'Vstupní hodnoty'!$K$5, 'Vstupní hodnoty'!$K$4)))</f>
        <v>27000</v>
      </c>
      <c r="I64">
        <f>IF($B$7=1, 'Vstupní hodnoty'!J$4*(2/3)/30*Model!D64, 0)</f>
        <v>0</v>
      </c>
      <c r="J64">
        <f>IF(Model!$B$5&gt;12,'Vstupní hodnoty'!$H$8*Model!D64,IF(Model!$B$5&gt;9,'Vstupní hodnoty'!$H$7*Model!D64,IF(Model!$B$5&gt;6,'Vstupní hodnoty'!$H$6*Model!D64,IF(Model!$B$5&gt;3,'Vstupní hodnoty'!$H$5*Model!D64,IF(Model!$B$5&gt;1,'Vstupní hodnoty'!$H$4*Model!D64,0)))))</f>
        <v>12141</v>
      </c>
      <c r="K64" s="5">
        <f>F64+G64+H64+E64*'Vstupní hodnoty'!L$4+J64*'Vstupní hodnoty'!L$4+I64*'Vstupní hodnoty'!L$4</f>
        <v>143855.65952380953</v>
      </c>
      <c r="L64" s="5">
        <f t="shared" si="1"/>
        <v>2026.1360496311202</v>
      </c>
      <c r="X64" s="14">
        <v>71</v>
      </c>
      <c r="Y64" s="5">
        <f>INDEX('Vstupní hodnoty'!$A$4:$A$15, MATCH(Model!$V$2,'Vstupní hodnoty'!$B$4:$B$15,0))/30*(X64+1*X64/7)</f>
        <v>124770.66666666667</v>
      </c>
      <c r="Z64">
        <f t="shared" si="2"/>
        <v>0</v>
      </c>
      <c r="AA64">
        <f t="shared" si="13"/>
        <v>24000</v>
      </c>
      <c r="AB64">
        <f>IF(X64&lt;14, 0, IF(AND(X64&gt;20,$V$4&lt;3,$V$3&lt;2), 'Vstupní hodnoty'!$I$6, IF(AND(X64&gt;20, $V$4&lt;4, $V$3&lt;4), 'Vstupní hodnoty'!$I$5, 'Vstupní hodnoty'!$I$4)))</f>
        <v>27000</v>
      </c>
      <c r="AC64">
        <f>IF($V$7=1, 'Vstupní hodnoty'!$J$4*(2/3)/30*Model!X64, 0)</f>
        <v>0</v>
      </c>
      <c r="AD64">
        <f>IF(Model!$V$5&gt;12,'Vstupní hodnoty'!$H$8*Model!X64,IF(Model!$V$5&gt;9,'Vstupní hodnoty'!$H$7*Model!X64,IF(Model!$V$5&gt;6,'Vstupní hodnoty'!$H$6*Model!X64,IF(Model!$V$5&gt;3,'Vstupní hodnoty'!$H$5*Model!X64,IF(Model!$V$5&gt;1,'Vstupní hodnoty'!$H$4*Model!X64,0)))))</f>
        <v>18247</v>
      </c>
      <c r="AE64" s="5">
        <f>Z64+AA64+AB64+Y64*'Vstupní hodnoty'!L$4+AD64*'Vstupní hodnoty'!L$4+AC64*'Vstupní hodnoty'!L$4</f>
        <v>172565.01666666666</v>
      </c>
      <c r="AF64" s="5">
        <f t="shared" si="4"/>
        <v>2430.493192488263</v>
      </c>
      <c r="AK64" s="14">
        <v>71</v>
      </c>
      <c r="AL64" s="5">
        <f>INDEX('Vstupní hodnoty'!$A$4:$A$15, MATCH(Model!$AI$2,'Vstupní hodnoty'!$B$4:$B$15,0))/30*(AK64+1*AK64/7)</f>
        <v>124770.66666666667</v>
      </c>
      <c r="AM64">
        <f t="shared" si="5"/>
        <v>0</v>
      </c>
      <c r="AN64">
        <f t="shared" si="14"/>
        <v>24000</v>
      </c>
      <c r="AO64">
        <f>IF(OR(AK64&lt;14, AI$3=4, AI$4=4),0,IF(AK64&lt;21,'Vstupní hodnoty'!N$4,IF(AK64&lt;28,'Vstupní hodnoty'!N$5,IF(AK64&lt;35,'Vstupní hodnoty'!N$6,'Vstupní hodnoty'!N$6))))+IF(OR(AK64&lt;21, AI$4=4),0,IF(AI$3&lt;2,'Vstupní hodnoty'!O$6*'Vstupní hodnoty'!$A$17*(AK64-20),IF(Model!AI$3&lt;3,'Vstupní hodnoty'!O$5*'Vstupní hodnoty'!$A$17*(AK64-20),IF(Model!AI$3&lt;4,'Vstupní hodnoty'!O$4*'Vstupní hodnoty'!$A$17*(AK64-20),0))))+IF(OR(AK64&lt;21, AI$3=4), 0, IF(AI$4=1, 'Vstupní hodnoty'!P$6, IF(Model!AI$4=2, 'Vstupní hodnoty'!P$5, IF(Model!AI$4=3, 'Vstupní hodnoty'!P$4, 0))))</f>
        <v>54288</v>
      </c>
      <c r="AP64">
        <f>IF($AI$7=1, 'Vstupní hodnoty'!J$4*(2/3)/30*Model!AK64, 0)</f>
        <v>0</v>
      </c>
      <c r="AQ64">
        <f>IF(Model!$AI$5&gt;12,'Vstupní hodnoty'!$H$8*Model!AK64,IF(Model!$AI$5&gt;9,'Vstupní hodnoty'!$H$7*Model!AK64,IF(Model!$AI$5&gt;6,'Vstupní hodnoty'!$H$6*Model!AK64,IF(Model!$AI$5&gt;3,'Vstupní hodnoty'!$H$5*Model!AK64,IF(Model!$AI$5&gt;1,'Vstupní hodnoty'!$H$4*Model!AK64,0)))))</f>
        <v>18247</v>
      </c>
      <c r="AR64" s="5">
        <f>AM64+AN64+AO64+AL64*'Vstupní hodnoty'!L$4+AQ64*'Vstupní hodnoty'!L$4+AP64*'Vstupní hodnoty'!L$4</f>
        <v>199853.01666666666</v>
      </c>
      <c r="AS64" s="5">
        <f t="shared" si="7"/>
        <v>2814.8312206572768</v>
      </c>
      <c r="AX64" s="14">
        <v>71</v>
      </c>
      <c r="AY64" s="5">
        <f>INDEX('Vstupní hodnoty'!$A$4:$A$15, MATCH(Model!$AV$2,'Vstupní hodnoty'!$B$4:$B$15,0))/30*(AX64+1*AX64/7)</f>
        <v>97100.952380952382</v>
      </c>
      <c r="AZ64">
        <f t="shared" si="8"/>
        <v>0</v>
      </c>
      <c r="BA64">
        <f t="shared" si="15"/>
        <v>24000</v>
      </c>
      <c r="BB64" s="5">
        <f>IF(OR(AV$3=4,AV$4=4),0,'Roční bonus alt 2'!D63)+IF(OR(AX64&lt;21,AV$3=4,AV$4=4),0,IF(AV$3&lt;2,'Vstupní hodnoty'!O$6*'Vstupní hodnoty'!$A$17*(Model!AX64-20),IF(Model!AV$3&lt;3,'Vstupní hodnoty'!O$5*'Vstupní hodnoty'!$A$17*(Model!AX64-20),IF(Model!AV$3&lt;4,'Vstupní hodnoty'!O$4*'Vstupní hodnoty'!$A$17*(Model!AX64-20),0))))+IF(OR(AX64&lt;21,AV$3=4,AV$4=4),0,IF(AV$4=1,'Vstupní hodnoty'!P$6,IF(Model!AV$4=2,'Vstupní hodnoty'!P$5,IF(Model!AV$4=3,'Vstupní hodnoty'!P$4,0))))</f>
        <v>101434.66666666666</v>
      </c>
      <c r="BC64">
        <f>IF($AV$7=1, 'Vstupní hodnoty'!J$4*(2/3)/30*Model!AX64, 0)</f>
        <v>0</v>
      </c>
      <c r="BD64">
        <f>IF(Model!$AV$5&gt;12,'Vstupní hodnoty'!$Q$8*Model!AX64,IF(Model!$AV$5&gt;9,'Vstupní hodnoty'!$Q$7*Model!AX64,IF(Model!$AV$5&gt;6,'Vstupní hodnoty'!$Q$6*Model!AX64,IF(Model!$AV$5&gt;3,'Vstupní hodnoty'!$Q$5*Model!AX64,IF(Model!$AV$5&gt;1,'Vstupní hodnoty'!$Q$4*Model!AX64,0)))))</f>
        <v>22152</v>
      </c>
      <c r="BE64" s="5">
        <f>AZ64+BA64+BB64+AY64*'Vstupní hodnoty'!L$4+BD64*'Vstupní hodnoty'!L$4+BC64*'Vstupní hodnoty'!L$4</f>
        <v>226799.6761904762</v>
      </c>
      <c r="BF64" s="5">
        <f t="shared" si="10"/>
        <v>3194.3616364855802</v>
      </c>
    </row>
    <row r="65" spans="4:58" x14ac:dyDescent="0.2">
      <c r="D65" s="14">
        <v>72</v>
      </c>
      <c r="E65" s="5">
        <f>INDEX('Vstupní hodnoty'!$A$4:$A$15, MATCH(Model!$B$2,'Vstupní hodnoty'!$B$4:$B$15,0))/30*(D65+1*D65/7)</f>
        <v>98468.571428571449</v>
      </c>
      <c r="F65">
        <f t="shared" si="0"/>
        <v>0</v>
      </c>
      <c r="G65">
        <f t="shared" si="12"/>
        <v>24000</v>
      </c>
      <c r="H65">
        <f>IF(D65&lt;14, 0, IF(AND(D65&gt;20,$B$4&lt;3,$B$3&lt;2), 'Vstupní hodnoty'!K$6, IF(AND(D65&gt;20, $B$4&lt;3, $B$3&lt;4), 'Vstupní hodnoty'!$K$5, 'Vstupní hodnoty'!$K$4)))</f>
        <v>27000</v>
      </c>
      <c r="I65">
        <f>IF($B$7=1, 'Vstupní hodnoty'!J$4*(2/3)/30*Model!D65, 0)</f>
        <v>0</v>
      </c>
      <c r="J65">
        <f>IF(Model!$B$5&gt;12,'Vstupní hodnoty'!$H$8*Model!D65,IF(Model!$B$5&gt;9,'Vstupní hodnoty'!$H$7*Model!D65,IF(Model!$B$5&gt;6,'Vstupní hodnoty'!$H$6*Model!D65,IF(Model!$B$5&gt;3,'Vstupní hodnoty'!$H$5*Model!D65,IF(Model!$B$5&gt;1,'Vstupní hodnoty'!$H$4*Model!D65,0)))))</f>
        <v>12312</v>
      </c>
      <c r="K65" s="5">
        <f>F65+G65+H65+E65*'Vstupní hodnoty'!L$4+J65*'Vstupní hodnoty'!L$4+I65*'Vstupní hodnoty'!L$4</f>
        <v>145163.48571428575</v>
      </c>
      <c r="L65" s="5">
        <f t="shared" si="1"/>
        <v>2016.1595238095242</v>
      </c>
      <c r="X65" s="14">
        <v>72</v>
      </c>
      <c r="Y65" s="5">
        <f>INDEX('Vstupní hodnoty'!$A$4:$A$15, MATCH(Model!$V$2,'Vstupní hodnoty'!$B$4:$B$15,0))/30*(X65+1*X65/7)</f>
        <v>126528.00000000001</v>
      </c>
      <c r="Z65">
        <f t="shared" si="2"/>
        <v>0</v>
      </c>
      <c r="AA65">
        <f t="shared" si="13"/>
        <v>24000</v>
      </c>
      <c r="AB65">
        <f>IF(X65&lt;14, 0, IF(AND(X65&gt;20,$V$4&lt;3,$V$3&lt;2), 'Vstupní hodnoty'!$I$6, IF(AND(X65&gt;20, $V$4&lt;4, $V$3&lt;4), 'Vstupní hodnoty'!$I$5, 'Vstupní hodnoty'!$I$4)))</f>
        <v>27000</v>
      </c>
      <c r="AC65">
        <f>IF($V$7=1, 'Vstupní hodnoty'!$J$4*(2/3)/30*Model!X65, 0)</f>
        <v>0</v>
      </c>
      <c r="AD65">
        <f>IF(Model!$V$5&gt;12,'Vstupní hodnoty'!$H$8*Model!X65,IF(Model!$V$5&gt;9,'Vstupní hodnoty'!$H$7*Model!X65,IF(Model!$V$5&gt;6,'Vstupní hodnoty'!$H$6*Model!X65,IF(Model!$V$5&gt;3,'Vstupní hodnoty'!$H$5*Model!X65,IF(Model!$V$5&gt;1,'Vstupní hodnoty'!$H$4*Model!X65,0)))))</f>
        <v>18504</v>
      </c>
      <c r="AE65" s="5">
        <f>Z65+AA65+AB65+Y65*'Vstupní hodnoty'!L$4+AD65*'Vstupní hodnoty'!L$4+AC65*'Vstupní hodnoty'!L$4</f>
        <v>174277.19999999998</v>
      </c>
      <c r="AF65" s="5">
        <f t="shared" si="4"/>
        <v>2420.5166666666664</v>
      </c>
      <c r="AK65" s="14">
        <v>72</v>
      </c>
      <c r="AL65" s="5">
        <f>INDEX('Vstupní hodnoty'!$A$4:$A$15, MATCH(Model!$AI$2,'Vstupní hodnoty'!$B$4:$B$15,0))/30*(AK65+1*AK65/7)</f>
        <v>126528.00000000001</v>
      </c>
      <c r="AM65">
        <f t="shared" si="5"/>
        <v>0</v>
      </c>
      <c r="AN65">
        <f t="shared" si="14"/>
        <v>24000</v>
      </c>
      <c r="AO65">
        <f>IF(OR(AK65&lt;14, AI$3=4, AI$4=4),0,IF(AK65&lt;21,'Vstupní hodnoty'!N$4,IF(AK65&lt;28,'Vstupní hodnoty'!N$5,IF(AK65&lt;35,'Vstupní hodnoty'!N$6,'Vstupní hodnoty'!N$6))))+IF(OR(AK65&lt;21, AI$4=4),0,IF(AI$3&lt;2,'Vstupní hodnoty'!O$6*'Vstupní hodnoty'!$A$17*(AK65-20),IF(Model!AI$3&lt;3,'Vstupní hodnoty'!O$5*'Vstupní hodnoty'!$A$17*(AK65-20),IF(Model!AI$3&lt;4,'Vstupní hodnoty'!O$4*'Vstupní hodnoty'!$A$17*(AK65-20),0))))+IF(OR(AK65&lt;21, AI$3=4), 0, IF(AI$4=1, 'Vstupní hodnoty'!P$6, IF(Model!AI$4=2, 'Vstupní hodnoty'!P$5, IF(Model!AI$4=3, 'Vstupní hodnoty'!P$4, 0))))</f>
        <v>54496</v>
      </c>
      <c r="AP65">
        <f>IF($AI$7=1, 'Vstupní hodnoty'!J$4*(2/3)/30*Model!AK65, 0)</f>
        <v>0</v>
      </c>
      <c r="AQ65">
        <f>IF(Model!$AI$5&gt;12,'Vstupní hodnoty'!$H$8*Model!AK65,IF(Model!$AI$5&gt;9,'Vstupní hodnoty'!$H$7*Model!AK65,IF(Model!$AI$5&gt;6,'Vstupní hodnoty'!$H$6*Model!AK65,IF(Model!$AI$5&gt;3,'Vstupní hodnoty'!$H$5*Model!AK65,IF(Model!$AI$5&gt;1,'Vstupní hodnoty'!$H$4*Model!AK65,0)))))</f>
        <v>18504</v>
      </c>
      <c r="AR65" s="5">
        <f>AM65+AN65+AO65+AL65*'Vstupní hodnoty'!L$4+AQ65*'Vstupní hodnoty'!L$4+AP65*'Vstupní hodnoty'!L$4</f>
        <v>201773.19999999998</v>
      </c>
      <c r="AS65" s="5">
        <f t="shared" si="7"/>
        <v>2802.4055555555551</v>
      </c>
      <c r="AX65" s="14">
        <v>72</v>
      </c>
      <c r="AY65" s="5">
        <f>INDEX('Vstupní hodnoty'!$A$4:$A$15, MATCH(Model!$AV$2,'Vstupní hodnoty'!$B$4:$B$15,0))/30*(AX65+1*AX65/7)</f>
        <v>98468.571428571449</v>
      </c>
      <c r="AZ65">
        <f t="shared" si="8"/>
        <v>0</v>
      </c>
      <c r="BA65">
        <f t="shared" si="15"/>
        <v>24000</v>
      </c>
      <c r="BB65" s="5">
        <f>IF(OR(AV$3=4,AV$4=4),0,'Roční bonus alt 2'!D64)+IF(OR(AX65&lt;21,AV$3=4,AV$4=4),0,IF(AV$3&lt;2,'Vstupní hodnoty'!O$6*'Vstupní hodnoty'!$A$17*(Model!AX65-20),IF(Model!AV$3&lt;3,'Vstupní hodnoty'!O$5*'Vstupní hodnoty'!$A$17*(Model!AX65-20),IF(Model!AV$3&lt;4,'Vstupní hodnoty'!O$4*'Vstupní hodnoty'!$A$17*(Model!AX65-20),0))))+IF(OR(AX65&lt;21,AV$3=4,AV$4=4),0,IF(AV$4=1,'Vstupní hodnoty'!P$6,IF(Model!AV$4=2,'Vstupní hodnoty'!P$5,IF(Model!AV$4=3,'Vstupní hodnoty'!P$4,0))))</f>
        <v>103029.33333333334</v>
      </c>
      <c r="BC65">
        <f>IF($AV$7=1, 'Vstupní hodnoty'!J$4*(2/3)/30*Model!AX65, 0)</f>
        <v>0</v>
      </c>
      <c r="BD65">
        <f>IF(Model!$AV$5&gt;12,'Vstupní hodnoty'!$Q$8*Model!AX65,IF(Model!$AV$5&gt;9,'Vstupní hodnoty'!$Q$7*Model!AX65,IF(Model!$AV$5&gt;6,'Vstupní hodnoty'!$Q$6*Model!AX65,IF(Model!$AV$5&gt;3,'Vstupní hodnoty'!$Q$5*Model!AX65,IF(Model!$AV$5&gt;1,'Vstupní hodnoty'!$Q$4*Model!AX65,0)))))</f>
        <v>22464</v>
      </c>
      <c r="BE65" s="5">
        <f>AZ65+BA65+BB65+AY65*'Vstupní hodnoty'!L$4+BD65*'Vstupní hodnoty'!L$4+BC65*'Vstupní hodnoty'!L$4</f>
        <v>229822.01904761905</v>
      </c>
      <c r="BF65" s="5">
        <f t="shared" si="10"/>
        <v>3191.9724867724867</v>
      </c>
    </row>
    <row r="66" spans="4:58" x14ac:dyDescent="0.2">
      <c r="D66" s="14">
        <v>73</v>
      </c>
      <c r="E66" s="5">
        <f>INDEX('Vstupní hodnoty'!$A$4:$A$15, MATCH(Model!$B$2,'Vstupní hodnoty'!$B$4:$B$15,0))/30*(D66+1*D66/7)</f>
        <v>99836.190476190488</v>
      </c>
      <c r="F66">
        <f t="shared" si="0"/>
        <v>0</v>
      </c>
      <c r="G66">
        <f t="shared" si="12"/>
        <v>24000</v>
      </c>
      <c r="H66">
        <f>IF(D66&lt;14, 0, IF(AND(D66&gt;20,$B$4&lt;3,$B$3&lt;2), 'Vstupní hodnoty'!K$6, IF(AND(D66&gt;20, $B$4&lt;3, $B$3&lt;4), 'Vstupní hodnoty'!$K$5, 'Vstupní hodnoty'!$K$4)))</f>
        <v>27000</v>
      </c>
      <c r="I66">
        <f>IF($B$7=1, 'Vstupní hodnoty'!J$4*(2/3)/30*Model!D66, 0)</f>
        <v>0</v>
      </c>
      <c r="J66">
        <f>IF(Model!$B$5&gt;12,'Vstupní hodnoty'!$H$8*Model!D66,IF(Model!$B$5&gt;9,'Vstupní hodnoty'!$H$7*Model!D66,IF(Model!$B$5&gt;6,'Vstupní hodnoty'!$H$6*Model!D66,IF(Model!$B$5&gt;3,'Vstupní hodnoty'!$H$5*Model!D66,IF(Model!$B$5&gt;1,'Vstupní hodnoty'!$H$4*Model!D66,0)))))</f>
        <v>12483</v>
      </c>
      <c r="K66" s="5">
        <f>F66+G66+H66+E66*'Vstupní hodnoty'!L$4+J66*'Vstupní hodnoty'!L$4+I66*'Vstupní hodnoty'!L$4</f>
        <v>146471.31190476188</v>
      </c>
      <c r="L66" s="5">
        <f t="shared" si="1"/>
        <v>2006.4563274624916</v>
      </c>
      <c r="X66" s="14">
        <v>73</v>
      </c>
      <c r="Y66" s="5">
        <f>INDEX('Vstupní hodnoty'!$A$4:$A$15, MATCH(Model!$V$2,'Vstupní hodnoty'!$B$4:$B$15,0))/30*(X66+1*X66/7)</f>
        <v>128285.33333333334</v>
      </c>
      <c r="Z66">
        <f t="shared" si="2"/>
        <v>0</v>
      </c>
      <c r="AA66">
        <f t="shared" si="13"/>
        <v>24000</v>
      </c>
      <c r="AB66">
        <f>IF(X66&lt;14, 0, IF(AND(X66&gt;20,$V$4&lt;3,$V$3&lt;2), 'Vstupní hodnoty'!$I$6, IF(AND(X66&gt;20, $V$4&lt;4, $V$3&lt;4), 'Vstupní hodnoty'!$I$5, 'Vstupní hodnoty'!$I$4)))</f>
        <v>27000</v>
      </c>
      <c r="AC66">
        <f>IF($V$7=1, 'Vstupní hodnoty'!$J$4*(2/3)/30*Model!X66, 0)</f>
        <v>0</v>
      </c>
      <c r="AD66">
        <f>IF(Model!$V$5&gt;12,'Vstupní hodnoty'!$H$8*Model!X66,IF(Model!$V$5&gt;9,'Vstupní hodnoty'!$H$7*Model!X66,IF(Model!$V$5&gt;6,'Vstupní hodnoty'!$H$6*Model!X66,IF(Model!$V$5&gt;3,'Vstupní hodnoty'!$H$5*Model!X66,IF(Model!$V$5&gt;1,'Vstupní hodnoty'!$H$4*Model!X66,0)))))</f>
        <v>18761</v>
      </c>
      <c r="AE66" s="5">
        <f>Z66+AA66+AB66+Y66*'Vstupní hodnoty'!L$4+AD66*'Vstupní hodnoty'!L$4+AC66*'Vstupní hodnoty'!L$4</f>
        <v>175989.38333333333</v>
      </c>
      <c r="AF66" s="5">
        <f t="shared" si="4"/>
        <v>2410.8134703196347</v>
      </c>
      <c r="AK66" s="14">
        <v>73</v>
      </c>
      <c r="AL66" s="5">
        <f>INDEX('Vstupní hodnoty'!$A$4:$A$15, MATCH(Model!$AI$2,'Vstupní hodnoty'!$B$4:$B$15,0))/30*(AK66+1*AK66/7)</f>
        <v>128285.33333333334</v>
      </c>
      <c r="AM66">
        <f t="shared" si="5"/>
        <v>0</v>
      </c>
      <c r="AN66">
        <f t="shared" si="14"/>
        <v>24000</v>
      </c>
      <c r="AO66">
        <f>IF(OR(AK66&lt;14, AI$3=4, AI$4=4),0,IF(AK66&lt;21,'Vstupní hodnoty'!N$4,IF(AK66&lt;28,'Vstupní hodnoty'!N$5,IF(AK66&lt;35,'Vstupní hodnoty'!N$6,'Vstupní hodnoty'!N$6))))+IF(OR(AK66&lt;21, AI$4=4),0,IF(AI$3&lt;2,'Vstupní hodnoty'!O$6*'Vstupní hodnoty'!$A$17*(AK66-20),IF(Model!AI$3&lt;3,'Vstupní hodnoty'!O$5*'Vstupní hodnoty'!$A$17*(AK66-20),IF(Model!AI$3&lt;4,'Vstupní hodnoty'!O$4*'Vstupní hodnoty'!$A$17*(AK66-20),0))))+IF(OR(AK66&lt;21, AI$3=4), 0, IF(AI$4=1, 'Vstupní hodnoty'!P$6, IF(Model!AI$4=2, 'Vstupní hodnoty'!P$5, IF(Model!AI$4=3, 'Vstupní hodnoty'!P$4, 0))))</f>
        <v>54704</v>
      </c>
      <c r="AP66">
        <f>IF($AI$7=1, 'Vstupní hodnoty'!J$4*(2/3)/30*Model!AK66, 0)</f>
        <v>0</v>
      </c>
      <c r="AQ66">
        <f>IF(Model!$AI$5&gt;12,'Vstupní hodnoty'!$H$8*Model!AK66,IF(Model!$AI$5&gt;9,'Vstupní hodnoty'!$H$7*Model!AK66,IF(Model!$AI$5&gt;6,'Vstupní hodnoty'!$H$6*Model!AK66,IF(Model!$AI$5&gt;3,'Vstupní hodnoty'!$H$5*Model!AK66,IF(Model!$AI$5&gt;1,'Vstupní hodnoty'!$H$4*Model!AK66,0)))))</f>
        <v>18761</v>
      </c>
      <c r="AR66" s="5">
        <f>AM66+AN66+AO66+AL66*'Vstupní hodnoty'!L$4+AQ66*'Vstupní hodnoty'!L$4+AP66*'Vstupní hodnoty'!L$4</f>
        <v>203693.38333333333</v>
      </c>
      <c r="AS66" s="5">
        <f t="shared" si="7"/>
        <v>2790.3203196347031</v>
      </c>
      <c r="AX66" s="14">
        <v>73</v>
      </c>
      <c r="AY66" s="5">
        <f>INDEX('Vstupní hodnoty'!$A$4:$A$15, MATCH(Model!$AV$2,'Vstupní hodnoty'!$B$4:$B$15,0))/30*(AX66+1*AX66/7)</f>
        <v>99836.190476190488</v>
      </c>
      <c r="AZ66">
        <f t="shared" si="8"/>
        <v>0</v>
      </c>
      <c r="BA66">
        <f t="shared" si="15"/>
        <v>24000</v>
      </c>
      <c r="BB66" s="5">
        <f>IF(OR(AV$3=4,AV$4=4),0,'Roční bonus alt 2'!D65)+IF(OR(AX66&lt;21,AV$3=4,AV$4=4),0,IF(AV$3&lt;2,'Vstupní hodnoty'!O$6*'Vstupní hodnoty'!$A$17*(Model!AX66-20),IF(Model!AV$3&lt;3,'Vstupní hodnoty'!O$5*'Vstupní hodnoty'!$A$17*(Model!AX66-20),IF(Model!AV$3&lt;4,'Vstupní hodnoty'!O$4*'Vstupní hodnoty'!$A$17*(Model!AX66-20),0))))+IF(OR(AX66&lt;21,AV$3=4,AV$4=4),0,IF(AV$4=1,'Vstupní hodnoty'!P$6,IF(Model!AV$4=2,'Vstupní hodnoty'!P$5,IF(Model!AV$4=3,'Vstupní hodnoty'!P$4,0))))</f>
        <v>104624</v>
      </c>
      <c r="BC66">
        <f>IF($AV$7=1, 'Vstupní hodnoty'!J$4*(2/3)/30*Model!AX66, 0)</f>
        <v>0</v>
      </c>
      <c r="BD66">
        <f>IF(Model!$AV$5&gt;12,'Vstupní hodnoty'!$Q$8*Model!AX66,IF(Model!$AV$5&gt;9,'Vstupní hodnoty'!$Q$7*Model!AX66,IF(Model!$AV$5&gt;6,'Vstupní hodnoty'!$Q$6*Model!AX66,IF(Model!$AV$5&gt;3,'Vstupní hodnoty'!$Q$5*Model!AX66,IF(Model!$AV$5&gt;1,'Vstupní hodnoty'!$Q$4*Model!AX66,0)))))</f>
        <v>22776</v>
      </c>
      <c r="BE66" s="5">
        <f>AZ66+BA66+BB66+AY66*'Vstupní hodnoty'!L$4+BD66*'Vstupní hodnoty'!L$4+BC66*'Vstupní hodnoty'!L$4</f>
        <v>232844.3619047619</v>
      </c>
      <c r="BF66" s="5">
        <f t="shared" si="10"/>
        <v>3189.6487932159166</v>
      </c>
    </row>
    <row r="67" spans="4:58" x14ac:dyDescent="0.2">
      <c r="D67" s="14">
        <v>74</v>
      </c>
      <c r="E67" s="5">
        <f>INDEX('Vstupní hodnoty'!$A$4:$A$15, MATCH(Model!$B$2,'Vstupní hodnoty'!$B$4:$B$15,0))/30*(D67+1*D67/7)</f>
        <v>101203.80952380953</v>
      </c>
      <c r="F67">
        <f t="shared" si="0"/>
        <v>0</v>
      </c>
      <c r="G67">
        <f t="shared" si="12"/>
        <v>24000</v>
      </c>
      <c r="H67">
        <f>IF(D67&lt;14, 0, IF(AND(D67&gt;20,$B$4&lt;3,$B$3&lt;2), 'Vstupní hodnoty'!K$6, IF(AND(D67&gt;20, $B$4&lt;3, $B$3&lt;4), 'Vstupní hodnoty'!$K$5, 'Vstupní hodnoty'!$K$4)))</f>
        <v>27000</v>
      </c>
      <c r="I67">
        <f>IF($B$7=1, 'Vstupní hodnoty'!J$4*(2/3)/30*Model!D67, 0)</f>
        <v>0</v>
      </c>
      <c r="J67">
        <f>IF(Model!$B$5&gt;12,'Vstupní hodnoty'!$H$8*Model!D67,IF(Model!$B$5&gt;9,'Vstupní hodnoty'!$H$7*Model!D67,IF(Model!$B$5&gt;6,'Vstupní hodnoty'!$H$6*Model!D67,IF(Model!$B$5&gt;3,'Vstupní hodnoty'!$H$5*Model!D67,IF(Model!$B$5&gt;1,'Vstupní hodnoty'!$H$4*Model!D67,0)))))</f>
        <v>12654</v>
      </c>
      <c r="K67" s="5">
        <f>F67+G67+H67+E67*'Vstupní hodnoty'!L$4+J67*'Vstupní hodnoty'!L$4+I67*'Vstupní hodnoty'!L$4</f>
        <v>147779.1380952381</v>
      </c>
      <c r="L67" s="5">
        <f t="shared" si="1"/>
        <v>1997.0153796653797</v>
      </c>
      <c r="X67" s="14">
        <v>74</v>
      </c>
      <c r="Y67" s="5">
        <f>INDEX('Vstupní hodnoty'!$A$4:$A$15, MATCH(Model!$V$2,'Vstupní hodnoty'!$B$4:$B$15,0))/30*(X67+1*X67/7)</f>
        <v>130042.66666666667</v>
      </c>
      <c r="Z67">
        <f t="shared" si="2"/>
        <v>0</v>
      </c>
      <c r="AA67">
        <f t="shared" si="13"/>
        <v>24000</v>
      </c>
      <c r="AB67">
        <f>IF(X67&lt;14, 0, IF(AND(X67&gt;20,$V$4&lt;3,$V$3&lt;2), 'Vstupní hodnoty'!$I$6, IF(AND(X67&gt;20, $V$4&lt;4, $V$3&lt;4), 'Vstupní hodnoty'!$I$5, 'Vstupní hodnoty'!$I$4)))</f>
        <v>27000</v>
      </c>
      <c r="AC67">
        <f>IF($V$7=1, 'Vstupní hodnoty'!$J$4*(2/3)/30*Model!X67, 0)</f>
        <v>0</v>
      </c>
      <c r="AD67">
        <f>IF(Model!$V$5&gt;12,'Vstupní hodnoty'!$H$8*Model!X67,IF(Model!$V$5&gt;9,'Vstupní hodnoty'!$H$7*Model!X67,IF(Model!$V$5&gt;6,'Vstupní hodnoty'!$H$6*Model!X67,IF(Model!$V$5&gt;3,'Vstupní hodnoty'!$H$5*Model!X67,IF(Model!$V$5&gt;1,'Vstupní hodnoty'!$H$4*Model!X67,0)))))</f>
        <v>19018</v>
      </c>
      <c r="AE67" s="5">
        <f>Z67+AA67+AB67+Y67*'Vstupní hodnoty'!L$4+AD67*'Vstupní hodnoty'!L$4+AC67*'Vstupní hodnoty'!L$4</f>
        <v>177701.56666666665</v>
      </c>
      <c r="AF67" s="5">
        <f t="shared" si="4"/>
        <v>2401.3725225225221</v>
      </c>
      <c r="AK67" s="14">
        <v>74</v>
      </c>
      <c r="AL67" s="5">
        <f>INDEX('Vstupní hodnoty'!$A$4:$A$15, MATCH(Model!$AI$2,'Vstupní hodnoty'!$B$4:$B$15,0))/30*(AK67+1*AK67/7)</f>
        <v>130042.66666666667</v>
      </c>
      <c r="AM67">
        <f t="shared" si="5"/>
        <v>0</v>
      </c>
      <c r="AN67">
        <f t="shared" si="14"/>
        <v>24000</v>
      </c>
      <c r="AO67">
        <f>IF(OR(AK67&lt;14, AI$3=4, AI$4=4),0,IF(AK67&lt;21,'Vstupní hodnoty'!N$4,IF(AK67&lt;28,'Vstupní hodnoty'!N$5,IF(AK67&lt;35,'Vstupní hodnoty'!N$6,'Vstupní hodnoty'!N$6))))+IF(OR(AK67&lt;21, AI$4=4),0,IF(AI$3&lt;2,'Vstupní hodnoty'!O$6*'Vstupní hodnoty'!$A$17*(AK67-20),IF(Model!AI$3&lt;3,'Vstupní hodnoty'!O$5*'Vstupní hodnoty'!$A$17*(AK67-20),IF(Model!AI$3&lt;4,'Vstupní hodnoty'!O$4*'Vstupní hodnoty'!$A$17*(AK67-20),0))))+IF(OR(AK67&lt;21, AI$3=4), 0, IF(AI$4=1, 'Vstupní hodnoty'!P$6, IF(Model!AI$4=2, 'Vstupní hodnoty'!P$5, IF(Model!AI$4=3, 'Vstupní hodnoty'!P$4, 0))))</f>
        <v>54912</v>
      </c>
      <c r="AP67">
        <f>IF($AI$7=1, 'Vstupní hodnoty'!J$4*(2/3)/30*Model!AK67, 0)</f>
        <v>0</v>
      </c>
      <c r="AQ67">
        <f>IF(Model!$AI$5&gt;12,'Vstupní hodnoty'!$H$8*Model!AK67,IF(Model!$AI$5&gt;9,'Vstupní hodnoty'!$H$7*Model!AK67,IF(Model!$AI$5&gt;6,'Vstupní hodnoty'!$H$6*Model!AK67,IF(Model!$AI$5&gt;3,'Vstupní hodnoty'!$H$5*Model!AK67,IF(Model!$AI$5&gt;1,'Vstupní hodnoty'!$H$4*Model!AK67,0)))))</f>
        <v>19018</v>
      </c>
      <c r="AR67" s="5">
        <f>AM67+AN67+AO67+AL67*'Vstupní hodnoty'!L$4+AQ67*'Vstupní hodnoty'!L$4+AP67*'Vstupní hodnoty'!L$4</f>
        <v>205613.56666666665</v>
      </c>
      <c r="AS67" s="5">
        <f t="shared" si="7"/>
        <v>2778.5617117117117</v>
      </c>
      <c r="AX67" s="14">
        <v>74</v>
      </c>
      <c r="AY67" s="5">
        <f>INDEX('Vstupní hodnoty'!$A$4:$A$15, MATCH(Model!$AV$2,'Vstupní hodnoty'!$B$4:$B$15,0))/30*(AX67+1*AX67/7)</f>
        <v>101203.80952380953</v>
      </c>
      <c r="AZ67">
        <f t="shared" si="8"/>
        <v>0</v>
      </c>
      <c r="BA67">
        <f t="shared" si="15"/>
        <v>24000</v>
      </c>
      <c r="BB67" s="5">
        <f>IF(OR(AV$3=4,AV$4=4),0,'Roční bonus alt 2'!D66)+IF(OR(AX67&lt;21,AV$3=4,AV$4=4),0,IF(AV$3&lt;2,'Vstupní hodnoty'!O$6*'Vstupní hodnoty'!$A$17*(Model!AX67-20),IF(Model!AV$3&lt;3,'Vstupní hodnoty'!O$5*'Vstupní hodnoty'!$A$17*(Model!AX67-20),IF(Model!AV$3&lt;4,'Vstupní hodnoty'!O$4*'Vstupní hodnoty'!$A$17*(Model!AX67-20),0))))+IF(OR(AX67&lt;21,AV$3=4,AV$4=4),0,IF(AV$4=1,'Vstupní hodnoty'!P$6,IF(Model!AV$4=2,'Vstupní hodnoty'!P$5,IF(Model!AV$4=3,'Vstupní hodnoty'!P$4,0))))</f>
        <v>106218.66666666666</v>
      </c>
      <c r="BC67">
        <f>IF($AV$7=1, 'Vstupní hodnoty'!J$4*(2/3)/30*Model!AX67, 0)</f>
        <v>0</v>
      </c>
      <c r="BD67">
        <f>IF(Model!$AV$5&gt;12,'Vstupní hodnoty'!$Q$8*Model!AX67,IF(Model!$AV$5&gt;9,'Vstupní hodnoty'!$Q$7*Model!AX67,IF(Model!$AV$5&gt;6,'Vstupní hodnoty'!$Q$6*Model!AX67,IF(Model!$AV$5&gt;3,'Vstupní hodnoty'!$Q$5*Model!AX67,IF(Model!$AV$5&gt;1,'Vstupní hodnoty'!$Q$4*Model!AX67,0)))))</f>
        <v>23088</v>
      </c>
      <c r="BE67" s="5">
        <f>AZ67+BA67+BB67+AY67*'Vstupní hodnoty'!L$4+BD67*'Vstupní hodnoty'!L$4+BC67*'Vstupní hodnoty'!L$4</f>
        <v>235866.70476190472</v>
      </c>
      <c r="BF67" s="5">
        <f t="shared" si="10"/>
        <v>3187.3879021879015</v>
      </c>
    </row>
    <row r="68" spans="4:58" x14ac:dyDescent="0.2">
      <c r="D68" s="14">
        <v>75</v>
      </c>
      <c r="E68" s="5">
        <f>INDEX('Vstupní hodnoty'!$A$4:$A$15, MATCH(Model!$B$2,'Vstupní hodnoty'!$B$4:$B$15,0))/30*(D68+1*D68/7)</f>
        <v>102571.42857142857</v>
      </c>
      <c r="F68">
        <f t="shared" ref="F68:F77" si="16">IF($B$5&lt;2, $B$6/12*30000, 0)/($B$6/12)</f>
        <v>0</v>
      </c>
      <c r="G68">
        <f t="shared" si="12"/>
        <v>24000</v>
      </c>
      <c r="H68">
        <f>IF(D68&lt;14, 0, IF(AND(D68&gt;20,$B$4&lt;3,$B$3&lt;2), 'Vstupní hodnoty'!K$6, IF(AND(D68&gt;20, $B$4&lt;3, $B$3&lt;4), 'Vstupní hodnoty'!$K$5, 'Vstupní hodnoty'!$K$4)))</f>
        <v>27000</v>
      </c>
      <c r="I68">
        <f>IF($B$7=1, 'Vstupní hodnoty'!J$4*(2/3)/30*Model!D68, 0)</f>
        <v>0</v>
      </c>
      <c r="J68">
        <f>IF(Model!$B$5&gt;12,'Vstupní hodnoty'!$H$8*Model!D68,IF(Model!$B$5&gt;9,'Vstupní hodnoty'!$H$7*Model!D68,IF(Model!$B$5&gt;6,'Vstupní hodnoty'!$H$6*Model!D68,IF(Model!$B$5&gt;3,'Vstupní hodnoty'!$H$5*Model!D68,IF(Model!$B$5&gt;1,'Vstupní hodnoty'!$H$4*Model!D68,0)))))</f>
        <v>12825</v>
      </c>
      <c r="K68" s="5">
        <f>F68+G68+H68+E68*'Vstupní hodnoty'!L$4+J68*'Vstupní hodnoty'!L$4+I68*'Vstupní hodnoty'!L$4</f>
        <v>149086.96428571426</v>
      </c>
      <c r="L68" s="5">
        <f t="shared" ref="L68:L77" si="17">K68/D68</f>
        <v>1987.82619047619</v>
      </c>
      <c r="X68" s="14">
        <v>75</v>
      </c>
      <c r="Y68" s="5">
        <f>INDEX('Vstupní hodnoty'!$A$4:$A$15, MATCH(Model!$V$2,'Vstupní hodnoty'!$B$4:$B$15,0))/30*(X68+1*X68/7)</f>
        <v>131800</v>
      </c>
      <c r="Z68">
        <f t="shared" ref="Z68:Z77" si="18">IF($V$5&lt;3, $V$6/12*30000, 0)/($V$6/12)</f>
        <v>0</v>
      </c>
      <c r="AA68">
        <f t="shared" si="13"/>
        <v>24000</v>
      </c>
      <c r="AB68">
        <f>IF(X68&lt;14, 0, IF(AND(X68&gt;20,$V$4&lt;3,$V$3&lt;2), 'Vstupní hodnoty'!$I$6, IF(AND(X68&gt;20, $V$4&lt;4, $V$3&lt;4), 'Vstupní hodnoty'!$I$5, 'Vstupní hodnoty'!$I$4)))</f>
        <v>27000</v>
      </c>
      <c r="AC68">
        <f>IF($V$7=1, 'Vstupní hodnoty'!$J$4*(2/3)/30*Model!X68, 0)</f>
        <v>0</v>
      </c>
      <c r="AD68">
        <f>IF(Model!$V$5&gt;12,'Vstupní hodnoty'!$H$8*Model!X68,IF(Model!$V$5&gt;9,'Vstupní hodnoty'!$H$7*Model!X68,IF(Model!$V$5&gt;6,'Vstupní hodnoty'!$H$6*Model!X68,IF(Model!$V$5&gt;3,'Vstupní hodnoty'!$H$5*Model!X68,IF(Model!$V$5&gt;1,'Vstupní hodnoty'!$H$4*Model!X68,0)))))</f>
        <v>19275</v>
      </c>
      <c r="AE68" s="5">
        <f>Z68+AA68+AB68+Y68*'Vstupní hodnoty'!L$4+AD68*'Vstupní hodnoty'!L$4+AC68*'Vstupní hodnoty'!L$4</f>
        <v>179413.75</v>
      </c>
      <c r="AF68" s="5">
        <f t="shared" ref="AF68:AF77" si="19">AE68/X68</f>
        <v>2392.1833333333334</v>
      </c>
      <c r="AK68" s="14">
        <v>75</v>
      </c>
      <c r="AL68" s="5">
        <f>INDEX('Vstupní hodnoty'!$A$4:$A$15, MATCH(Model!$AI$2,'Vstupní hodnoty'!$B$4:$B$15,0))/30*(AK68+1*AK68/7)</f>
        <v>131800</v>
      </c>
      <c r="AM68">
        <f t="shared" ref="AM68:AM77" si="20">IF($AI$5&lt;3, $AI$6/12*30000, 0)/($AI$6/12)</f>
        <v>0</v>
      </c>
      <c r="AN68">
        <f t="shared" si="14"/>
        <v>24000</v>
      </c>
      <c r="AO68">
        <f>IF(OR(AK68&lt;14, AI$3=4, AI$4=4),0,IF(AK68&lt;21,'Vstupní hodnoty'!N$4,IF(AK68&lt;28,'Vstupní hodnoty'!N$5,IF(AK68&lt;35,'Vstupní hodnoty'!N$6,'Vstupní hodnoty'!N$6))))+IF(OR(AK68&lt;21, AI$4=4),0,IF(AI$3&lt;2,'Vstupní hodnoty'!O$6*'Vstupní hodnoty'!$A$17*(AK68-20),IF(Model!AI$3&lt;3,'Vstupní hodnoty'!O$5*'Vstupní hodnoty'!$A$17*(AK68-20),IF(Model!AI$3&lt;4,'Vstupní hodnoty'!O$4*'Vstupní hodnoty'!$A$17*(AK68-20),0))))+IF(OR(AK68&lt;21, AI$3=4), 0, IF(AI$4=1, 'Vstupní hodnoty'!P$6, IF(Model!AI$4=2, 'Vstupní hodnoty'!P$5, IF(Model!AI$4=3, 'Vstupní hodnoty'!P$4, 0))))</f>
        <v>55120</v>
      </c>
      <c r="AP68">
        <f>IF($AI$7=1, 'Vstupní hodnoty'!J$4*(2/3)/30*Model!AK68, 0)</f>
        <v>0</v>
      </c>
      <c r="AQ68">
        <f>IF(Model!$AI$5&gt;12,'Vstupní hodnoty'!$H$8*Model!AK68,IF(Model!$AI$5&gt;9,'Vstupní hodnoty'!$H$7*Model!AK68,IF(Model!$AI$5&gt;6,'Vstupní hodnoty'!$H$6*Model!AK68,IF(Model!$AI$5&gt;3,'Vstupní hodnoty'!$H$5*Model!AK68,IF(Model!$AI$5&gt;1,'Vstupní hodnoty'!$H$4*Model!AK68,0)))))</f>
        <v>19275</v>
      </c>
      <c r="AR68" s="5">
        <f>AM68+AN68+AO68+AL68*'Vstupní hodnoty'!L$4+AQ68*'Vstupní hodnoty'!L$4+AP68*'Vstupní hodnoty'!L$4</f>
        <v>207533.75</v>
      </c>
      <c r="AS68" s="5">
        <f t="shared" ref="AS68:AS77" si="21">AR68/AK68</f>
        <v>2767.1166666666668</v>
      </c>
      <c r="AX68" s="14">
        <v>75</v>
      </c>
      <c r="AY68" s="5">
        <f>INDEX('Vstupní hodnoty'!$A$4:$A$15, MATCH(Model!$AV$2,'Vstupní hodnoty'!$B$4:$B$15,0))/30*(AX68+1*AX68/7)</f>
        <v>102571.42857142857</v>
      </c>
      <c r="AZ68">
        <f t="shared" ref="AZ68:AZ77" si="22">IF($AV$5=0, $AV$6/12*30000, 0)/($AV$6/12)</f>
        <v>0</v>
      </c>
      <c r="BA68">
        <f t="shared" si="15"/>
        <v>24000</v>
      </c>
      <c r="BB68" s="5">
        <f>IF(OR(AV$3=4,AV$4=4),0,'Roční bonus alt 2'!D67)+IF(OR(AX68&lt;21,AV$3=4,AV$4=4),0,IF(AV$3&lt;2,'Vstupní hodnoty'!O$6*'Vstupní hodnoty'!$A$17*(Model!AX68-20),IF(Model!AV$3&lt;3,'Vstupní hodnoty'!O$5*'Vstupní hodnoty'!$A$17*(Model!AX68-20),IF(Model!AV$3&lt;4,'Vstupní hodnoty'!O$4*'Vstupní hodnoty'!$A$17*(Model!AX68-20),0))))+IF(OR(AX68&lt;21,AV$3=4,AV$4=4),0,IF(AV$4=1,'Vstupní hodnoty'!P$6,IF(Model!AV$4=2,'Vstupní hodnoty'!P$5,IF(Model!AV$4=3,'Vstupní hodnoty'!P$4,0))))</f>
        <v>107813.33333333334</v>
      </c>
      <c r="BC68">
        <f>IF($AV$7=1, 'Vstupní hodnoty'!J$4*(2/3)/30*Model!AX68, 0)</f>
        <v>0</v>
      </c>
      <c r="BD68">
        <f>IF(Model!$AV$5&gt;12,'Vstupní hodnoty'!$Q$8*Model!AX68,IF(Model!$AV$5&gt;9,'Vstupní hodnoty'!$Q$7*Model!AX68,IF(Model!$AV$5&gt;6,'Vstupní hodnoty'!$Q$6*Model!AX68,IF(Model!$AV$5&gt;3,'Vstupní hodnoty'!$Q$5*Model!AX68,IF(Model!$AV$5&gt;1,'Vstupní hodnoty'!$Q$4*Model!AX68,0)))))</f>
        <v>23400</v>
      </c>
      <c r="BE68" s="5">
        <f>AZ68+BA68+BB68+AY68*'Vstupní hodnoty'!L$4+BD68*'Vstupní hodnoty'!L$4+BC68*'Vstupní hodnoty'!L$4</f>
        <v>238889.04761904763</v>
      </c>
      <c r="BF68" s="5">
        <f t="shared" ref="BF68:BF77" si="23">BE68/AX68</f>
        <v>3185.1873015873016</v>
      </c>
    </row>
    <row r="69" spans="4:58" x14ac:dyDescent="0.2">
      <c r="D69" s="14">
        <v>76</v>
      </c>
      <c r="E69" s="5">
        <f>INDEX('Vstupní hodnoty'!$A$4:$A$15, MATCH(Model!$B$2,'Vstupní hodnoty'!$B$4:$B$15,0))/30*(D69+1*D69/7)</f>
        <v>103939.04761904763</v>
      </c>
      <c r="F69">
        <f t="shared" si="16"/>
        <v>0</v>
      </c>
      <c r="G69">
        <f t="shared" si="12"/>
        <v>24000</v>
      </c>
      <c r="H69">
        <f>IF(D69&lt;14, 0, IF(AND(D69&gt;20,$B$4&lt;3,$B$3&lt;2), 'Vstupní hodnoty'!K$6, IF(AND(D69&gt;20, $B$4&lt;3, $B$3&lt;4), 'Vstupní hodnoty'!$K$5, 'Vstupní hodnoty'!$K$4)))</f>
        <v>27000</v>
      </c>
      <c r="I69">
        <f>IF($B$7=1, 'Vstupní hodnoty'!J$4*(2/3)/30*Model!D69, 0)</f>
        <v>0</v>
      </c>
      <c r="J69">
        <f>IF(Model!$B$5&gt;12,'Vstupní hodnoty'!$H$8*Model!D69,IF(Model!$B$5&gt;9,'Vstupní hodnoty'!$H$7*Model!D69,IF(Model!$B$5&gt;6,'Vstupní hodnoty'!$H$6*Model!D69,IF(Model!$B$5&gt;3,'Vstupní hodnoty'!$H$5*Model!D69,IF(Model!$B$5&gt;1,'Vstupní hodnoty'!$H$4*Model!D69,0)))))</f>
        <v>12996</v>
      </c>
      <c r="K69" s="5">
        <f>F69+G69+H69+E69*'Vstupní hodnoty'!L$4+J69*'Vstupní hodnoty'!L$4+I69*'Vstupní hodnoty'!L$4</f>
        <v>150394.79047619048</v>
      </c>
      <c r="L69" s="5">
        <f t="shared" si="17"/>
        <v>1978.8788220551378</v>
      </c>
      <c r="X69" s="14">
        <v>76</v>
      </c>
      <c r="Y69" s="5">
        <f>INDEX('Vstupní hodnoty'!$A$4:$A$15, MATCH(Model!$V$2,'Vstupní hodnoty'!$B$4:$B$15,0))/30*(X69+1*X69/7)</f>
        <v>133557.33333333334</v>
      </c>
      <c r="Z69">
        <f t="shared" si="18"/>
        <v>0</v>
      </c>
      <c r="AA69">
        <f t="shared" si="13"/>
        <v>24000</v>
      </c>
      <c r="AB69">
        <f>IF(X69&lt;14, 0, IF(AND(X69&gt;20,$V$4&lt;3,$V$3&lt;2), 'Vstupní hodnoty'!$I$6, IF(AND(X69&gt;20, $V$4&lt;4, $V$3&lt;4), 'Vstupní hodnoty'!$I$5, 'Vstupní hodnoty'!$I$4)))</f>
        <v>27000</v>
      </c>
      <c r="AC69">
        <f>IF($V$7=1, 'Vstupní hodnoty'!$J$4*(2/3)/30*Model!X69, 0)</f>
        <v>0</v>
      </c>
      <c r="AD69">
        <f>IF(Model!$V$5&gt;12,'Vstupní hodnoty'!$H$8*Model!X69,IF(Model!$V$5&gt;9,'Vstupní hodnoty'!$H$7*Model!X69,IF(Model!$V$5&gt;6,'Vstupní hodnoty'!$H$6*Model!X69,IF(Model!$V$5&gt;3,'Vstupní hodnoty'!$H$5*Model!X69,IF(Model!$V$5&gt;1,'Vstupní hodnoty'!$H$4*Model!X69,0)))))</f>
        <v>19532</v>
      </c>
      <c r="AE69" s="5">
        <f>Z69+AA69+AB69+Y69*'Vstupní hodnoty'!L$4+AD69*'Vstupní hodnoty'!L$4+AC69*'Vstupní hodnoty'!L$4</f>
        <v>181125.93333333335</v>
      </c>
      <c r="AF69" s="5">
        <f t="shared" si="19"/>
        <v>2383.2359649122809</v>
      </c>
      <c r="AK69" s="14">
        <v>76</v>
      </c>
      <c r="AL69" s="5">
        <f>INDEX('Vstupní hodnoty'!$A$4:$A$15, MATCH(Model!$AI$2,'Vstupní hodnoty'!$B$4:$B$15,0))/30*(AK69+1*AK69/7)</f>
        <v>133557.33333333334</v>
      </c>
      <c r="AM69">
        <f t="shared" si="20"/>
        <v>0</v>
      </c>
      <c r="AN69">
        <f t="shared" si="14"/>
        <v>24000</v>
      </c>
      <c r="AO69">
        <f>IF(OR(AK69&lt;14, AI$3=4, AI$4=4),0,IF(AK69&lt;21,'Vstupní hodnoty'!N$4,IF(AK69&lt;28,'Vstupní hodnoty'!N$5,IF(AK69&lt;35,'Vstupní hodnoty'!N$6,'Vstupní hodnoty'!N$6))))+IF(OR(AK69&lt;21, AI$4=4),0,IF(AI$3&lt;2,'Vstupní hodnoty'!O$6*'Vstupní hodnoty'!$A$17*(AK69-20),IF(Model!AI$3&lt;3,'Vstupní hodnoty'!O$5*'Vstupní hodnoty'!$A$17*(AK69-20),IF(Model!AI$3&lt;4,'Vstupní hodnoty'!O$4*'Vstupní hodnoty'!$A$17*(AK69-20),0))))+IF(OR(AK69&lt;21, AI$3=4), 0, IF(AI$4=1, 'Vstupní hodnoty'!P$6, IF(Model!AI$4=2, 'Vstupní hodnoty'!P$5, IF(Model!AI$4=3, 'Vstupní hodnoty'!P$4, 0))))</f>
        <v>55328</v>
      </c>
      <c r="AP69">
        <f>IF($AI$7=1, 'Vstupní hodnoty'!J$4*(2/3)/30*Model!AK69, 0)</f>
        <v>0</v>
      </c>
      <c r="AQ69">
        <f>IF(Model!$AI$5&gt;12,'Vstupní hodnoty'!$H$8*Model!AK69,IF(Model!$AI$5&gt;9,'Vstupní hodnoty'!$H$7*Model!AK69,IF(Model!$AI$5&gt;6,'Vstupní hodnoty'!$H$6*Model!AK69,IF(Model!$AI$5&gt;3,'Vstupní hodnoty'!$H$5*Model!AK69,IF(Model!$AI$5&gt;1,'Vstupní hodnoty'!$H$4*Model!AK69,0)))))</f>
        <v>19532</v>
      </c>
      <c r="AR69" s="5">
        <f>AM69+AN69+AO69+AL69*'Vstupní hodnoty'!L$4+AQ69*'Vstupní hodnoty'!L$4+AP69*'Vstupní hodnoty'!L$4</f>
        <v>209453.93333333335</v>
      </c>
      <c r="AS69" s="5">
        <f t="shared" si="21"/>
        <v>2755.9728070175443</v>
      </c>
      <c r="AX69" s="14">
        <v>76</v>
      </c>
      <c r="AY69" s="5">
        <f>INDEX('Vstupní hodnoty'!$A$4:$A$15, MATCH(Model!$AV$2,'Vstupní hodnoty'!$B$4:$B$15,0))/30*(AX69+1*AX69/7)</f>
        <v>103939.04761904763</v>
      </c>
      <c r="AZ69">
        <f t="shared" si="22"/>
        <v>0</v>
      </c>
      <c r="BA69">
        <f t="shared" si="15"/>
        <v>24000</v>
      </c>
      <c r="BB69" s="5">
        <f>IF(OR(AV$3=4,AV$4=4),0,'Roční bonus alt 2'!D68)+IF(OR(AX69&lt;21,AV$3=4,AV$4=4),0,IF(AV$3&lt;2,'Vstupní hodnoty'!O$6*'Vstupní hodnoty'!$A$17*(Model!AX69-20),IF(Model!AV$3&lt;3,'Vstupní hodnoty'!O$5*'Vstupní hodnoty'!$A$17*(Model!AX69-20),IF(Model!AV$3&lt;4,'Vstupní hodnoty'!O$4*'Vstupní hodnoty'!$A$17*(Model!AX69-20),0))))+IF(OR(AX69&lt;21,AV$3=4,AV$4=4),0,IF(AV$4=1,'Vstupní hodnoty'!P$6,IF(Model!AV$4=2,'Vstupní hodnoty'!P$5,IF(Model!AV$4=3,'Vstupní hodnoty'!P$4,0))))</f>
        <v>109408</v>
      </c>
      <c r="BC69">
        <f>IF($AV$7=1, 'Vstupní hodnoty'!J$4*(2/3)/30*Model!AX69, 0)</f>
        <v>0</v>
      </c>
      <c r="BD69">
        <f>IF(Model!$AV$5&gt;12,'Vstupní hodnoty'!$Q$8*Model!AX69,IF(Model!$AV$5&gt;9,'Vstupní hodnoty'!$Q$7*Model!AX69,IF(Model!$AV$5&gt;6,'Vstupní hodnoty'!$Q$6*Model!AX69,IF(Model!$AV$5&gt;3,'Vstupní hodnoty'!$Q$5*Model!AX69,IF(Model!$AV$5&gt;1,'Vstupní hodnoty'!$Q$4*Model!AX69,0)))))</f>
        <v>23712</v>
      </c>
      <c r="BE69" s="5">
        <f>AZ69+BA69+BB69+AY69*'Vstupní hodnoty'!L$4+BD69*'Vstupní hodnoty'!L$4+BC69*'Vstupní hodnoty'!L$4</f>
        <v>241911.39047619049</v>
      </c>
      <c r="BF69" s="5">
        <f t="shared" si="23"/>
        <v>3183.0446115288223</v>
      </c>
    </row>
    <row r="70" spans="4:58" x14ac:dyDescent="0.2">
      <c r="D70" s="14">
        <v>77</v>
      </c>
      <c r="E70" s="5">
        <f>INDEX('Vstupní hodnoty'!$A$4:$A$15, MATCH(Model!$B$2,'Vstupní hodnoty'!$B$4:$B$15,0))/30*(D70+1*D70/7)</f>
        <v>105306.66666666667</v>
      </c>
      <c r="F70">
        <f t="shared" si="16"/>
        <v>0</v>
      </c>
      <c r="G70">
        <f t="shared" si="12"/>
        <v>24000</v>
      </c>
      <c r="H70">
        <f>IF(D70&lt;14, 0, IF(AND(D70&gt;20,$B$4&lt;3,$B$3&lt;2), 'Vstupní hodnoty'!K$6, IF(AND(D70&gt;20, $B$4&lt;3, $B$3&lt;4), 'Vstupní hodnoty'!$K$5, 'Vstupní hodnoty'!$K$4)))</f>
        <v>27000</v>
      </c>
      <c r="I70">
        <f>IF($B$7=1, 'Vstupní hodnoty'!J$4*(2/3)/30*Model!D70, 0)</f>
        <v>0</v>
      </c>
      <c r="J70">
        <f>IF(Model!$B$5&gt;12,'Vstupní hodnoty'!$H$8*Model!D70,IF(Model!$B$5&gt;9,'Vstupní hodnoty'!$H$7*Model!D70,IF(Model!$B$5&gt;6,'Vstupní hodnoty'!$H$6*Model!D70,IF(Model!$B$5&gt;3,'Vstupní hodnoty'!$H$5*Model!D70,IF(Model!$B$5&gt;1,'Vstupní hodnoty'!$H$4*Model!D70,0)))))</f>
        <v>13167</v>
      </c>
      <c r="K70" s="5">
        <f>F70+G70+H70+E70*'Vstupní hodnoty'!L$4+J70*'Vstupní hodnoty'!L$4+I70*'Vstupní hodnoty'!L$4</f>
        <v>151702.6166666667</v>
      </c>
      <c r="L70" s="5">
        <f t="shared" si="17"/>
        <v>1970.1638528138533</v>
      </c>
      <c r="X70" s="14">
        <v>77</v>
      </c>
      <c r="Y70" s="5">
        <f>INDEX('Vstupní hodnoty'!$A$4:$A$15, MATCH(Model!$V$2,'Vstupní hodnoty'!$B$4:$B$15,0))/30*(X70+1*X70/7)</f>
        <v>135314.66666666669</v>
      </c>
      <c r="Z70">
        <f t="shared" si="18"/>
        <v>0</v>
      </c>
      <c r="AA70">
        <f t="shared" si="13"/>
        <v>24000</v>
      </c>
      <c r="AB70">
        <f>IF(X70&lt;14, 0, IF(AND(X70&gt;20,$V$4&lt;3,$V$3&lt;2), 'Vstupní hodnoty'!$I$6, IF(AND(X70&gt;20, $V$4&lt;4, $V$3&lt;4), 'Vstupní hodnoty'!$I$5, 'Vstupní hodnoty'!$I$4)))</f>
        <v>27000</v>
      </c>
      <c r="AC70">
        <f>IF($V$7=1, 'Vstupní hodnoty'!$J$4*(2/3)/30*Model!X70, 0)</f>
        <v>0</v>
      </c>
      <c r="AD70">
        <f>IF(Model!$V$5&gt;12,'Vstupní hodnoty'!$H$8*Model!X70,IF(Model!$V$5&gt;9,'Vstupní hodnoty'!$H$7*Model!X70,IF(Model!$V$5&gt;6,'Vstupní hodnoty'!$H$6*Model!X70,IF(Model!$V$5&gt;3,'Vstupní hodnoty'!$H$5*Model!X70,IF(Model!$V$5&gt;1,'Vstupní hodnoty'!$H$4*Model!X70,0)))))</f>
        <v>19789</v>
      </c>
      <c r="AE70" s="5">
        <f>Z70+AA70+AB70+Y70*'Vstupní hodnoty'!L$4+AD70*'Vstupní hodnoty'!L$4+AC70*'Vstupní hodnoty'!L$4</f>
        <v>182838.11666666667</v>
      </c>
      <c r="AF70" s="5">
        <f t="shared" si="19"/>
        <v>2374.5209956709955</v>
      </c>
      <c r="AK70" s="14">
        <v>77</v>
      </c>
      <c r="AL70" s="5">
        <f>INDEX('Vstupní hodnoty'!$A$4:$A$15, MATCH(Model!$AI$2,'Vstupní hodnoty'!$B$4:$B$15,0))/30*(AK70+1*AK70/7)</f>
        <v>135314.66666666669</v>
      </c>
      <c r="AM70">
        <f t="shared" si="20"/>
        <v>0</v>
      </c>
      <c r="AN70">
        <f t="shared" si="14"/>
        <v>24000</v>
      </c>
      <c r="AO70">
        <f>IF(OR(AK70&lt;14, AI$3=4, AI$4=4),0,IF(AK70&lt;21,'Vstupní hodnoty'!N$4,IF(AK70&lt;28,'Vstupní hodnoty'!N$5,IF(AK70&lt;35,'Vstupní hodnoty'!N$6,'Vstupní hodnoty'!N$6))))+IF(OR(AK70&lt;21, AI$4=4),0,IF(AI$3&lt;2,'Vstupní hodnoty'!O$6*'Vstupní hodnoty'!$A$17*(AK70-20),IF(Model!AI$3&lt;3,'Vstupní hodnoty'!O$5*'Vstupní hodnoty'!$A$17*(AK70-20),IF(Model!AI$3&lt;4,'Vstupní hodnoty'!O$4*'Vstupní hodnoty'!$A$17*(AK70-20),0))))+IF(OR(AK70&lt;21, AI$3=4), 0, IF(AI$4=1, 'Vstupní hodnoty'!P$6, IF(Model!AI$4=2, 'Vstupní hodnoty'!P$5, IF(Model!AI$4=3, 'Vstupní hodnoty'!P$4, 0))))</f>
        <v>55536</v>
      </c>
      <c r="AP70">
        <f>IF($AI$7=1, 'Vstupní hodnoty'!J$4*(2/3)/30*Model!AK70, 0)</f>
        <v>0</v>
      </c>
      <c r="AQ70">
        <f>IF(Model!$AI$5&gt;12,'Vstupní hodnoty'!$H$8*Model!AK70,IF(Model!$AI$5&gt;9,'Vstupní hodnoty'!$H$7*Model!AK70,IF(Model!$AI$5&gt;6,'Vstupní hodnoty'!$H$6*Model!AK70,IF(Model!$AI$5&gt;3,'Vstupní hodnoty'!$H$5*Model!AK70,IF(Model!$AI$5&gt;1,'Vstupní hodnoty'!$H$4*Model!AK70,0)))))</f>
        <v>19789</v>
      </c>
      <c r="AR70" s="5">
        <f>AM70+AN70+AO70+AL70*'Vstupní hodnoty'!L$4+AQ70*'Vstupní hodnoty'!L$4+AP70*'Vstupní hodnoty'!L$4</f>
        <v>211374.11666666667</v>
      </c>
      <c r="AS70" s="5">
        <f t="shared" si="21"/>
        <v>2745.1183982683983</v>
      </c>
      <c r="AX70" s="14">
        <v>77</v>
      </c>
      <c r="AY70" s="5">
        <f>INDEX('Vstupní hodnoty'!$A$4:$A$15, MATCH(Model!$AV$2,'Vstupní hodnoty'!$B$4:$B$15,0))/30*(AX70+1*AX70/7)</f>
        <v>105306.66666666667</v>
      </c>
      <c r="AZ70">
        <f t="shared" si="22"/>
        <v>0</v>
      </c>
      <c r="BA70">
        <f t="shared" si="15"/>
        <v>24000</v>
      </c>
      <c r="BB70" s="5">
        <f>IF(OR(AV$3=4,AV$4=4),0,'Roční bonus alt 2'!D69)+IF(OR(AX70&lt;21,AV$3=4,AV$4=4),0,IF(AV$3&lt;2,'Vstupní hodnoty'!O$6*'Vstupní hodnoty'!$A$17*(Model!AX70-20),IF(Model!AV$3&lt;3,'Vstupní hodnoty'!O$5*'Vstupní hodnoty'!$A$17*(Model!AX70-20),IF(Model!AV$3&lt;4,'Vstupní hodnoty'!O$4*'Vstupní hodnoty'!$A$17*(Model!AX70-20),0))))+IF(OR(AX70&lt;21,AV$3=4,AV$4=4),0,IF(AV$4=1,'Vstupní hodnoty'!P$6,IF(Model!AV$4=2,'Vstupní hodnoty'!P$5,IF(Model!AV$4=3,'Vstupní hodnoty'!P$4,0))))</f>
        <v>111002.66666666666</v>
      </c>
      <c r="BC70">
        <f>IF($AV$7=1, 'Vstupní hodnoty'!J$4*(2/3)/30*Model!AX70, 0)</f>
        <v>0</v>
      </c>
      <c r="BD70">
        <f>IF(Model!$AV$5&gt;12,'Vstupní hodnoty'!$Q$8*Model!AX70,IF(Model!$AV$5&gt;9,'Vstupní hodnoty'!$Q$7*Model!AX70,IF(Model!$AV$5&gt;6,'Vstupní hodnoty'!$Q$6*Model!AX70,IF(Model!$AV$5&gt;3,'Vstupní hodnoty'!$Q$5*Model!AX70,IF(Model!$AV$5&gt;1,'Vstupní hodnoty'!$Q$4*Model!AX70,0)))))</f>
        <v>24024</v>
      </c>
      <c r="BE70" s="5">
        <f>AZ70+BA70+BB70+AY70*'Vstupní hodnoty'!L$4+BD70*'Vstupní hodnoty'!L$4+BC70*'Vstupní hodnoty'!L$4</f>
        <v>244933.73333333331</v>
      </c>
      <c r="BF70" s="5">
        <f t="shared" si="23"/>
        <v>3180.9575757575753</v>
      </c>
    </row>
    <row r="71" spans="4:58" x14ac:dyDescent="0.2">
      <c r="D71" s="14">
        <v>78</v>
      </c>
      <c r="E71" s="5">
        <f>INDEX('Vstupní hodnoty'!$A$4:$A$15, MATCH(Model!$B$2,'Vstupní hodnoty'!$B$4:$B$15,0))/30*(D71+1*D71/7)</f>
        <v>106674.28571428571</v>
      </c>
      <c r="F71">
        <f t="shared" si="16"/>
        <v>0</v>
      </c>
      <c r="G71">
        <f t="shared" si="12"/>
        <v>24000</v>
      </c>
      <c r="H71">
        <f>IF(D71&lt;14, 0, IF(AND(D71&gt;20,$B$4&lt;3,$B$3&lt;2), 'Vstupní hodnoty'!K$6, IF(AND(D71&gt;20, $B$4&lt;3, $B$3&lt;4), 'Vstupní hodnoty'!$K$5, 'Vstupní hodnoty'!$K$4)))</f>
        <v>27000</v>
      </c>
      <c r="I71">
        <f>IF($B$7=1, 'Vstupní hodnoty'!J$4*(2/3)/30*Model!D71, 0)</f>
        <v>0</v>
      </c>
      <c r="J71">
        <f>IF(Model!$B$5&gt;12,'Vstupní hodnoty'!$H$8*Model!D71,IF(Model!$B$5&gt;9,'Vstupní hodnoty'!$H$7*Model!D71,IF(Model!$B$5&gt;6,'Vstupní hodnoty'!$H$6*Model!D71,IF(Model!$B$5&gt;3,'Vstupní hodnoty'!$H$5*Model!D71,IF(Model!$B$5&gt;1,'Vstupní hodnoty'!$H$4*Model!D71,0)))))</f>
        <v>13338</v>
      </c>
      <c r="K71" s="5">
        <f>F71+G71+H71+E71*'Vstupní hodnoty'!L$4+J71*'Vstupní hodnoty'!L$4+I71*'Vstupní hodnoty'!L$4</f>
        <v>153010.44285714283</v>
      </c>
      <c r="L71" s="5">
        <f t="shared" si="17"/>
        <v>1961.6723443223439</v>
      </c>
      <c r="X71" s="14">
        <v>78</v>
      </c>
      <c r="Y71" s="5">
        <f>INDEX('Vstupní hodnoty'!$A$4:$A$15, MATCH(Model!$V$2,'Vstupní hodnoty'!$B$4:$B$15,0))/30*(X71+1*X71/7)</f>
        <v>137072</v>
      </c>
      <c r="Z71">
        <f t="shared" si="18"/>
        <v>0</v>
      </c>
      <c r="AA71">
        <f t="shared" si="13"/>
        <v>24000</v>
      </c>
      <c r="AB71">
        <f>IF(X71&lt;14, 0, IF(AND(X71&gt;20,$V$4&lt;3,$V$3&lt;2), 'Vstupní hodnoty'!$I$6, IF(AND(X71&gt;20, $V$4&lt;4, $V$3&lt;4), 'Vstupní hodnoty'!$I$5, 'Vstupní hodnoty'!$I$4)))</f>
        <v>27000</v>
      </c>
      <c r="AC71">
        <f>IF($V$7=1, 'Vstupní hodnoty'!$J$4*(2/3)/30*Model!X71, 0)</f>
        <v>0</v>
      </c>
      <c r="AD71">
        <f>IF(Model!$V$5&gt;12,'Vstupní hodnoty'!$H$8*Model!X71,IF(Model!$V$5&gt;9,'Vstupní hodnoty'!$H$7*Model!X71,IF(Model!$V$5&gt;6,'Vstupní hodnoty'!$H$6*Model!X71,IF(Model!$V$5&gt;3,'Vstupní hodnoty'!$H$5*Model!X71,IF(Model!$V$5&gt;1,'Vstupní hodnoty'!$H$4*Model!X71,0)))))</f>
        <v>20046</v>
      </c>
      <c r="AE71" s="5">
        <f>Z71+AA71+AB71+Y71*'Vstupní hodnoty'!L$4+AD71*'Vstupní hodnoty'!L$4+AC71*'Vstupní hodnoty'!L$4</f>
        <v>184550.30000000002</v>
      </c>
      <c r="AF71" s="5">
        <f t="shared" si="19"/>
        <v>2366.0294871794872</v>
      </c>
      <c r="AK71" s="14">
        <v>78</v>
      </c>
      <c r="AL71" s="5">
        <f>INDEX('Vstupní hodnoty'!$A$4:$A$15, MATCH(Model!$AI$2,'Vstupní hodnoty'!$B$4:$B$15,0))/30*(AK71+1*AK71/7)</f>
        <v>137072</v>
      </c>
      <c r="AM71">
        <f t="shared" si="20"/>
        <v>0</v>
      </c>
      <c r="AN71">
        <f t="shared" si="14"/>
        <v>24000</v>
      </c>
      <c r="AO71">
        <f>IF(OR(AK71&lt;14, AI$3=4, AI$4=4),0,IF(AK71&lt;21,'Vstupní hodnoty'!N$4,IF(AK71&lt;28,'Vstupní hodnoty'!N$5,IF(AK71&lt;35,'Vstupní hodnoty'!N$6,'Vstupní hodnoty'!N$6))))+IF(OR(AK71&lt;21, AI$4=4),0,IF(AI$3&lt;2,'Vstupní hodnoty'!O$6*'Vstupní hodnoty'!$A$17*(AK71-20),IF(Model!AI$3&lt;3,'Vstupní hodnoty'!O$5*'Vstupní hodnoty'!$A$17*(AK71-20),IF(Model!AI$3&lt;4,'Vstupní hodnoty'!O$4*'Vstupní hodnoty'!$A$17*(AK71-20),0))))+IF(OR(AK71&lt;21, AI$3=4), 0, IF(AI$4=1, 'Vstupní hodnoty'!P$6, IF(Model!AI$4=2, 'Vstupní hodnoty'!P$5, IF(Model!AI$4=3, 'Vstupní hodnoty'!P$4, 0))))</f>
        <v>55744</v>
      </c>
      <c r="AP71">
        <f>IF($AI$7=1, 'Vstupní hodnoty'!J$4*(2/3)/30*Model!AK71, 0)</f>
        <v>0</v>
      </c>
      <c r="AQ71">
        <f>IF(Model!$AI$5&gt;12,'Vstupní hodnoty'!$H$8*Model!AK71,IF(Model!$AI$5&gt;9,'Vstupní hodnoty'!$H$7*Model!AK71,IF(Model!$AI$5&gt;6,'Vstupní hodnoty'!$H$6*Model!AK71,IF(Model!$AI$5&gt;3,'Vstupní hodnoty'!$H$5*Model!AK71,IF(Model!$AI$5&gt;1,'Vstupní hodnoty'!$H$4*Model!AK71,0)))))</f>
        <v>20046</v>
      </c>
      <c r="AR71" s="5">
        <f>AM71+AN71+AO71+AL71*'Vstupní hodnoty'!L$4+AQ71*'Vstupní hodnoty'!L$4+AP71*'Vstupní hodnoty'!L$4</f>
        <v>213294.30000000002</v>
      </c>
      <c r="AS71" s="5">
        <f t="shared" si="21"/>
        <v>2734.542307692308</v>
      </c>
      <c r="AX71" s="14">
        <v>78</v>
      </c>
      <c r="AY71" s="5">
        <f>INDEX('Vstupní hodnoty'!$A$4:$A$15, MATCH(Model!$AV$2,'Vstupní hodnoty'!$B$4:$B$15,0))/30*(AX71+1*AX71/7)</f>
        <v>106674.28571428571</v>
      </c>
      <c r="AZ71">
        <f t="shared" si="22"/>
        <v>0</v>
      </c>
      <c r="BA71">
        <f t="shared" si="15"/>
        <v>24000</v>
      </c>
      <c r="BB71" s="5">
        <f>IF(OR(AV$3=4,AV$4=4),0,'Roční bonus alt 2'!D70)+IF(OR(AX71&lt;21,AV$3=4,AV$4=4),0,IF(AV$3&lt;2,'Vstupní hodnoty'!O$6*'Vstupní hodnoty'!$A$17*(Model!AX71-20),IF(Model!AV$3&lt;3,'Vstupní hodnoty'!O$5*'Vstupní hodnoty'!$A$17*(Model!AX71-20),IF(Model!AV$3&lt;4,'Vstupní hodnoty'!O$4*'Vstupní hodnoty'!$A$17*(Model!AX71-20),0))))+IF(OR(AX71&lt;21,AV$3=4,AV$4=4),0,IF(AV$4=1,'Vstupní hodnoty'!P$6,IF(Model!AV$4=2,'Vstupní hodnoty'!P$5,IF(Model!AV$4=3,'Vstupní hodnoty'!P$4,0))))</f>
        <v>112597.33333333334</v>
      </c>
      <c r="BC71">
        <f>IF($AV$7=1, 'Vstupní hodnoty'!J$4*(2/3)/30*Model!AX71, 0)</f>
        <v>0</v>
      </c>
      <c r="BD71">
        <f>IF(Model!$AV$5&gt;12,'Vstupní hodnoty'!$Q$8*Model!AX71,IF(Model!$AV$5&gt;9,'Vstupní hodnoty'!$Q$7*Model!AX71,IF(Model!$AV$5&gt;6,'Vstupní hodnoty'!$Q$6*Model!AX71,IF(Model!$AV$5&gt;3,'Vstupní hodnoty'!$Q$5*Model!AX71,IF(Model!$AV$5&gt;1,'Vstupní hodnoty'!$Q$4*Model!AX71,0)))))</f>
        <v>24336</v>
      </c>
      <c r="BE71" s="5">
        <f>AZ71+BA71+BB71+AY71*'Vstupní hodnoty'!L$4+BD71*'Vstupní hodnoty'!L$4+BC71*'Vstupní hodnoty'!L$4</f>
        <v>247956.07619047622</v>
      </c>
      <c r="BF71" s="5">
        <f t="shared" si="23"/>
        <v>3178.9240537240539</v>
      </c>
    </row>
    <row r="72" spans="4:58" x14ac:dyDescent="0.2">
      <c r="D72" s="14">
        <v>79</v>
      </c>
      <c r="E72" s="5">
        <f>INDEX('Vstupní hodnoty'!$A$4:$A$15, MATCH(Model!$B$2,'Vstupní hodnoty'!$B$4:$B$15,0))/30*(D72+1*D72/7)</f>
        <v>108041.90476190478</v>
      </c>
      <c r="F72">
        <f t="shared" si="16"/>
        <v>0</v>
      </c>
      <c r="G72">
        <f t="shared" si="12"/>
        <v>24000</v>
      </c>
      <c r="H72">
        <f>IF(D72&lt;14, 0, IF(AND(D72&gt;20,$B$4&lt;3,$B$3&lt;2), 'Vstupní hodnoty'!K$6, IF(AND(D72&gt;20, $B$4&lt;3, $B$3&lt;4), 'Vstupní hodnoty'!$K$5, 'Vstupní hodnoty'!$K$4)))</f>
        <v>27000</v>
      </c>
      <c r="I72">
        <f>IF($B$7=1, 'Vstupní hodnoty'!J$4*(2/3)/30*Model!D72, 0)</f>
        <v>0</v>
      </c>
      <c r="J72">
        <f>IF(Model!$B$5&gt;12,'Vstupní hodnoty'!$H$8*Model!D72,IF(Model!$B$5&gt;9,'Vstupní hodnoty'!$H$7*Model!D72,IF(Model!$B$5&gt;6,'Vstupní hodnoty'!$H$6*Model!D72,IF(Model!$B$5&gt;3,'Vstupní hodnoty'!$H$5*Model!D72,IF(Model!$B$5&gt;1,'Vstupní hodnoty'!$H$4*Model!D72,0)))))</f>
        <v>13509</v>
      </c>
      <c r="K72" s="5">
        <f>F72+G72+H72+E72*'Vstupní hodnoty'!L$4+J72*'Vstupní hodnoty'!L$4+I72*'Vstupní hodnoty'!L$4</f>
        <v>154318.26904761905</v>
      </c>
      <c r="L72" s="5">
        <f t="shared" si="17"/>
        <v>1953.3958107293549</v>
      </c>
      <c r="X72" s="14">
        <v>79</v>
      </c>
      <c r="Y72" s="5">
        <f>INDEX('Vstupní hodnoty'!$A$4:$A$15, MATCH(Model!$V$2,'Vstupní hodnoty'!$B$4:$B$15,0))/30*(X72+1*X72/7)</f>
        <v>138829.33333333334</v>
      </c>
      <c r="Z72">
        <f t="shared" si="18"/>
        <v>0</v>
      </c>
      <c r="AA72">
        <f t="shared" si="13"/>
        <v>24000</v>
      </c>
      <c r="AB72">
        <f>IF(X72&lt;14, 0, IF(AND(X72&gt;20,$V$4&lt;3,$V$3&lt;2), 'Vstupní hodnoty'!$I$6, IF(AND(X72&gt;20, $V$4&lt;4, $V$3&lt;4), 'Vstupní hodnoty'!$I$5, 'Vstupní hodnoty'!$I$4)))</f>
        <v>27000</v>
      </c>
      <c r="AC72">
        <f>IF($V$7=1, 'Vstupní hodnoty'!$J$4*(2/3)/30*Model!X72, 0)</f>
        <v>0</v>
      </c>
      <c r="AD72">
        <f>IF(Model!$V$5&gt;12,'Vstupní hodnoty'!$H$8*Model!X72,IF(Model!$V$5&gt;9,'Vstupní hodnoty'!$H$7*Model!X72,IF(Model!$V$5&gt;6,'Vstupní hodnoty'!$H$6*Model!X72,IF(Model!$V$5&gt;3,'Vstupní hodnoty'!$H$5*Model!X72,IF(Model!$V$5&gt;1,'Vstupní hodnoty'!$H$4*Model!X72,0)))))</f>
        <v>20303</v>
      </c>
      <c r="AE72" s="5">
        <f>Z72+AA72+AB72+Y72*'Vstupní hodnoty'!L$4+AD72*'Vstupní hodnoty'!L$4+AC72*'Vstupní hodnoty'!L$4</f>
        <v>186262.48333333334</v>
      </c>
      <c r="AF72" s="5">
        <f t="shared" si="19"/>
        <v>2357.7529535864978</v>
      </c>
      <c r="AK72" s="14">
        <v>79</v>
      </c>
      <c r="AL72" s="5">
        <f>INDEX('Vstupní hodnoty'!$A$4:$A$15, MATCH(Model!$AI$2,'Vstupní hodnoty'!$B$4:$B$15,0))/30*(AK72+1*AK72/7)</f>
        <v>138829.33333333334</v>
      </c>
      <c r="AM72">
        <f t="shared" si="20"/>
        <v>0</v>
      </c>
      <c r="AN72">
        <f t="shared" si="14"/>
        <v>24000</v>
      </c>
      <c r="AO72">
        <f>IF(OR(AK72&lt;14, AI$3=4, AI$4=4),0,IF(AK72&lt;21,'Vstupní hodnoty'!N$4,IF(AK72&lt;28,'Vstupní hodnoty'!N$5,IF(AK72&lt;35,'Vstupní hodnoty'!N$6,'Vstupní hodnoty'!N$6))))+IF(OR(AK72&lt;21, AI$4=4),0,IF(AI$3&lt;2,'Vstupní hodnoty'!O$6*'Vstupní hodnoty'!$A$17*(AK72-20),IF(Model!AI$3&lt;3,'Vstupní hodnoty'!O$5*'Vstupní hodnoty'!$A$17*(AK72-20),IF(Model!AI$3&lt;4,'Vstupní hodnoty'!O$4*'Vstupní hodnoty'!$A$17*(AK72-20),0))))+IF(OR(AK72&lt;21, AI$3=4), 0, IF(AI$4=1, 'Vstupní hodnoty'!P$6, IF(Model!AI$4=2, 'Vstupní hodnoty'!P$5, IF(Model!AI$4=3, 'Vstupní hodnoty'!P$4, 0))))</f>
        <v>55952</v>
      </c>
      <c r="AP72">
        <f>IF($AI$7=1, 'Vstupní hodnoty'!J$4*(2/3)/30*Model!AK72, 0)</f>
        <v>0</v>
      </c>
      <c r="AQ72">
        <f>IF(Model!$AI$5&gt;12,'Vstupní hodnoty'!$H$8*Model!AK72,IF(Model!$AI$5&gt;9,'Vstupní hodnoty'!$H$7*Model!AK72,IF(Model!$AI$5&gt;6,'Vstupní hodnoty'!$H$6*Model!AK72,IF(Model!$AI$5&gt;3,'Vstupní hodnoty'!$H$5*Model!AK72,IF(Model!$AI$5&gt;1,'Vstupní hodnoty'!$H$4*Model!AK72,0)))))</f>
        <v>20303</v>
      </c>
      <c r="AR72" s="5">
        <f>AM72+AN72+AO72+AL72*'Vstupní hodnoty'!L$4+AQ72*'Vstupní hodnoty'!L$4+AP72*'Vstupní hodnoty'!L$4</f>
        <v>215214.48333333334</v>
      </c>
      <c r="AS72" s="5">
        <f t="shared" si="21"/>
        <v>2724.2339662447257</v>
      </c>
      <c r="AX72" s="14">
        <v>79</v>
      </c>
      <c r="AY72" s="5">
        <f>INDEX('Vstupní hodnoty'!$A$4:$A$15, MATCH(Model!$AV$2,'Vstupní hodnoty'!$B$4:$B$15,0))/30*(AX72+1*AX72/7)</f>
        <v>108041.90476190478</v>
      </c>
      <c r="AZ72">
        <f t="shared" si="22"/>
        <v>0</v>
      </c>
      <c r="BA72">
        <f t="shared" si="15"/>
        <v>24000</v>
      </c>
      <c r="BB72" s="5">
        <f>IF(OR(AV$3=4,AV$4=4),0,'Roční bonus alt 2'!D71)+IF(OR(AX72&lt;21,AV$3=4,AV$4=4),0,IF(AV$3&lt;2,'Vstupní hodnoty'!O$6*'Vstupní hodnoty'!$A$17*(Model!AX72-20),IF(Model!AV$3&lt;3,'Vstupní hodnoty'!O$5*'Vstupní hodnoty'!$A$17*(Model!AX72-20),IF(Model!AV$3&lt;4,'Vstupní hodnoty'!O$4*'Vstupní hodnoty'!$A$17*(Model!AX72-20),0))))+IF(OR(AX72&lt;21,AV$3=4,AV$4=4),0,IF(AV$4=1,'Vstupní hodnoty'!P$6,IF(Model!AV$4=2,'Vstupní hodnoty'!P$5,IF(Model!AV$4=3,'Vstupní hodnoty'!P$4,0))))</f>
        <v>114192</v>
      </c>
      <c r="BC72">
        <f>IF($AV$7=1, 'Vstupní hodnoty'!J$4*(2/3)/30*Model!AX72, 0)</f>
        <v>0</v>
      </c>
      <c r="BD72">
        <f>IF(Model!$AV$5&gt;12,'Vstupní hodnoty'!$Q$8*Model!AX72,IF(Model!$AV$5&gt;9,'Vstupní hodnoty'!$Q$7*Model!AX72,IF(Model!$AV$5&gt;6,'Vstupní hodnoty'!$Q$6*Model!AX72,IF(Model!$AV$5&gt;3,'Vstupní hodnoty'!$Q$5*Model!AX72,IF(Model!$AV$5&gt;1,'Vstupní hodnoty'!$Q$4*Model!AX72,0)))))</f>
        <v>24648</v>
      </c>
      <c r="BE72" s="5">
        <f>AZ72+BA72+BB72+AY72*'Vstupní hodnoty'!L$4+BD72*'Vstupní hodnoty'!L$4+BC72*'Vstupní hodnoty'!L$4</f>
        <v>250978.41904761904</v>
      </c>
      <c r="BF72" s="5">
        <f t="shared" si="23"/>
        <v>3176.9420132610007</v>
      </c>
    </row>
    <row r="73" spans="4:58" x14ac:dyDescent="0.2">
      <c r="D73" s="14">
        <v>80</v>
      </c>
      <c r="E73" s="5">
        <f>INDEX('Vstupní hodnoty'!$A$4:$A$15, MATCH(Model!$B$2,'Vstupní hodnoty'!$B$4:$B$15,0))/30*(D73+1*D73/7)</f>
        <v>109409.52380952382</v>
      </c>
      <c r="F73">
        <f t="shared" si="16"/>
        <v>0</v>
      </c>
      <c r="G73">
        <f t="shared" si="12"/>
        <v>24000</v>
      </c>
      <c r="H73">
        <f>IF(D73&lt;14, 0, IF(AND(D73&gt;20,$B$4&lt;3,$B$3&lt;2), 'Vstupní hodnoty'!K$6, IF(AND(D73&gt;20, $B$4&lt;3, $B$3&lt;4), 'Vstupní hodnoty'!$K$5, 'Vstupní hodnoty'!$K$4)))</f>
        <v>27000</v>
      </c>
      <c r="I73">
        <f>IF($B$7=1, 'Vstupní hodnoty'!J$4*(2/3)/30*Model!D73, 0)</f>
        <v>0</v>
      </c>
      <c r="J73">
        <f>IF(Model!$B$5&gt;12,'Vstupní hodnoty'!$H$8*Model!D73,IF(Model!$B$5&gt;9,'Vstupní hodnoty'!$H$7*Model!D73,IF(Model!$B$5&gt;6,'Vstupní hodnoty'!$H$6*Model!D73,IF(Model!$B$5&gt;3,'Vstupní hodnoty'!$H$5*Model!D73,IF(Model!$B$5&gt;1,'Vstupní hodnoty'!$H$4*Model!D73,0)))))</f>
        <v>13680</v>
      </c>
      <c r="K73" s="5">
        <f>F73+G73+H73+E73*'Vstupní hodnoty'!L$4+J73*'Vstupní hodnoty'!L$4+I73*'Vstupní hodnoty'!L$4</f>
        <v>155626.09523809524</v>
      </c>
      <c r="L73" s="5">
        <f t="shared" si="17"/>
        <v>1945.3261904761905</v>
      </c>
      <c r="X73" s="14">
        <v>80</v>
      </c>
      <c r="Y73" s="5">
        <f>INDEX('Vstupní hodnoty'!$A$4:$A$15, MATCH(Model!$V$2,'Vstupní hodnoty'!$B$4:$B$15,0))/30*(X73+1*X73/7)</f>
        <v>140586.66666666669</v>
      </c>
      <c r="Z73">
        <f t="shared" si="18"/>
        <v>0</v>
      </c>
      <c r="AA73">
        <f t="shared" si="13"/>
        <v>24000</v>
      </c>
      <c r="AB73">
        <f>IF(X73&lt;14, 0, IF(AND(X73&gt;20,$V$4&lt;3,$V$3&lt;2), 'Vstupní hodnoty'!$I$6, IF(AND(X73&gt;20, $V$4&lt;4, $V$3&lt;4), 'Vstupní hodnoty'!$I$5, 'Vstupní hodnoty'!$I$4)))</f>
        <v>27000</v>
      </c>
      <c r="AC73">
        <f>IF($V$7=1, 'Vstupní hodnoty'!$J$4*(2/3)/30*Model!X73, 0)</f>
        <v>0</v>
      </c>
      <c r="AD73">
        <f>IF(Model!$V$5&gt;12,'Vstupní hodnoty'!$H$8*Model!X73,IF(Model!$V$5&gt;9,'Vstupní hodnoty'!$H$7*Model!X73,IF(Model!$V$5&gt;6,'Vstupní hodnoty'!$H$6*Model!X73,IF(Model!$V$5&gt;3,'Vstupní hodnoty'!$H$5*Model!X73,IF(Model!$V$5&gt;1,'Vstupní hodnoty'!$H$4*Model!X73,0)))))</f>
        <v>20560</v>
      </c>
      <c r="AE73" s="5">
        <f>Z73+AA73+AB73+Y73*'Vstupní hodnoty'!L$4+AD73*'Vstupní hodnoty'!L$4+AC73*'Vstupní hodnoty'!L$4</f>
        <v>187974.66666666669</v>
      </c>
      <c r="AF73" s="5">
        <f t="shared" si="19"/>
        <v>2349.6833333333334</v>
      </c>
      <c r="AK73" s="14">
        <v>80</v>
      </c>
      <c r="AL73" s="5">
        <f>INDEX('Vstupní hodnoty'!$A$4:$A$15, MATCH(Model!$AI$2,'Vstupní hodnoty'!$B$4:$B$15,0))/30*(AK73+1*AK73/7)</f>
        <v>140586.66666666669</v>
      </c>
      <c r="AM73">
        <f t="shared" si="20"/>
        <v>0</v>
      </c>
      <c r="AN73">
        <f t="shared" si="14"/>
        <v>24000</v>
      </c>
      <c r="AO73">
        <f>IF(OR(AK73&lt;14, AI$3=4, AI$4=4),0,IF(AK73&lt;21,'Vstupní hodnoty'!N$4,IF(AK73&lt;28,'Vstupní hodnoty'!N$5,IF(AK73&lt;35,'Vstupní hodnoty'!N$6,'Vstupní hodnoty'!N$6))))+IF(OR(AK73&lt;21, AI$4=4),0,IF(AI$3&lt;2,'Vstupní hodnoty'!O$6*'Vstupní hodnoty'!$A$17*(AK73-20),IF(Model!AI$3&lt;3,'Vstupní hodnoty'!O$5*'Vstupní hodnoty'!$A$17*(AK73-20),IF(Model!AI$3&lt;4,'Vstupní hodnoty'!O$4*'Vstupní hodnoty'!$A$17*(AK73-20),0))))+IF(OR(AK73&lt;21, AI$3=4), 0, IF(AI$4=1, 'Vstupní hodnoty'!P$6, IF(Model!AI$4=2, 'Vstupní hodnoty'!P$5, IF(Model!AI$4=3, 'Vstupní hodnoty'!P$4, 0))))</f>
        <v>56160</v>
      </c>
      <c r="AP73">
        <f>IF($AI$7=1, 'Vstupní hodnoty'!J$4*(2/3)/30*Model!AK73, 0)</f>
        <v>0</v>
      </c>
      <c r="AQ73">
        <f>IF(Model!$AI$5&gt;12,'Vstupní hodnoty'!$H$8*Model!AK73,IF(Model!$AI$5&gt;9,'Vstupní hodnoty'!$H$7*Model!AK73,IF(Model!$AI$5&gt;6,'Vstupní hodnoty'!$H$6*Model!AK73,IF(Model!$AI$5&gt;3,'Vstupní hodnoty'!$H$5*Model!AK73,IF(Model!$AI$5&gt;1,'Vstupní hodnoty'!$H$4*Model!AK73,0)))))</f>
        <v>20560</v>
      </c>
      <c r="AR73" s="5">
        <f>AM73+AN73+AO73+AL73*'Vstupní hodnoty'!L$4+AQ73*'Vstupní hodnoty'!L$4+AP73*'Vstupní hodnoty'!L$4</f>
        <v>217134.66666666669</v>
      </c>
      <c r="AS73" s="5">
        <f t="shared" si="21"/>
        <v>2714.1833333333334</v>
      </c>
      <c r="AX73" s="14">
        <v>80</v>
      </c>
      <c r="AY73" s="5">
        <f>INDEX('Vstupní hodnoty'!$A$4:$A$15, MATCH(Model!$AV$2,'Vstupní hodnoty'!$B$4:$B$15,0))/30*(AX73+1*AX73/7)</f>
        <v>109409.52380952382</v>
      </c>
      <c r="AZ73">
        <f t="shared" si="22"/>
        <v>0</v>
      </c>
      <c r="BA73">
        <f t="shared" si="15"/>
        <v>24000</v>
      </c>
      <c r="BB73" s="5">
        <f>IF(OR(AV$3=4,AV$4=4),0,'Roční bonus alt 2'!D72)+IF(OR(AX73&lt;21,AV$3=4,AV$4=4),0,IF(AV$3&lt;2,'Vstupní hodnoty'!O$6*'Vstupní hodnoty'!$A$17*(Model!AX73-20),IF(Model!AV$3&lt;3,'Vstupní hodnoty'!O$5*'Vstupní hodnoty'!$A$17*(Model!AX73-20),IF(Model!AV$3&lt;4,'Vstupní hodnoty'!O$4*'Vstupní hodnoty'!$A$17*(Model!AX73-20),0))))+IF(OR(AX73&lt;21,AV$3=4,AV$4=4),0,IF(AV$4=1,'Vstupní hodnoty'!P$6,IF(Model!AV$4=2,'Vstupní hodnoty'!P$5,IF(Model!AV$4=3,'Vstupní hodnoty'!P$4,0))))</f>
        <v>115786.66666666666</v>
      </c>
      <c r="BC73">
        <f>IF($AV$7=1, 'Vstupní hodnoty'!J$4*(2/3)/30*Model!AX73, 0)</f>
        <v>0</v>
      </c>
      <c r="BD73">
        <f>IF(Model!$AV$5&gt;12,'Vstupní hodnoty'!$Q$8*Model!AX73,IF(Model!$AV$5&gt;9,'Vstupní hodnoty'!$Q$7*Model!AX73,IF(Model!$AV$5&gt;6,'Vstupní hodnoty'!$Q$6*Model!AX73,IF(Model!$AV$5&gt;3,'Vstupní hodnoty'!$Q$5*Model!AX73,IF(Model!$AV$5&gt;1,'Vstupní hodnoty'!$Q$4*Model!AX73,0)))))</f>
        <v>24960</v>
      </c>
      <c r="BE73" s="5">
        <f>AZ73+BA73+BB73+AY73*'Vstupní hodnoty'!L$4+BD73*'Vstupní hodnoty'!L$4+BC73*'Vstupní hodnoty'!L$4</f>
        <v>254000.76190476189</v>
      </c>
      <c r="BF73" s="5">
        <f t="shared" si="23"/>
        <v>3175.0095238095237</v>
      </c>
    </row>
    <row r="74" spans="4:58" x14ac:dyDescent="0.2">
      <c r="D74" s="14">
        <v>81</v>
      </c>
      <c r="E74" s="5">
        <f>INDEX('Vstupní hodnoty'!$A$4:$A$15, MATCH(Model!$B$2,'Vstupní hodnoty'!$B$4:$B$15,0))/30*(D74+1*D74/7)</f>
        <v>110777.14285714286</v>
      </c>
      <c r="F74">
        <f t="shared" si="16"/>
        <v>0</v>
      </c>
      <c r="G74">
        <f t="shared" si="12"/>
        <v>24000</v>
      </c>
      <c r="H74">
        <f>IF(D74&lt;14, 0, IF(AND(D74&gt;20,$B$4&lt;3,$B$3&lt;2), 'Vstupní hodnoty'!K$6, IF(AND(D74&gt;20, $B$4&lt;3, $B$3&lt;4), 'Vstupní hodnoty'!$K$5, 'Vstupní hodnoty'!$K$4)))</f>
        <v>27000</v>
      </c>
      <c r="I74">
        <f>IF($B$7=1, 'Vstupní hodnoty'!J$4*(2/3)/30*Model!D74, 0)</f>
        <v>0</v>
      </c>
      <c r="J74">
        <f>IF(Model!$B$5&gt;12,'Vstupní hodnoty'!$H$8*Model!D74,IF(Model!$B$5&gt;9,'Vstupní hodnoty'!$H$7*Model!D74,IF(Model!$B$5&gt;6,'Vstupní hodnoty'!$H$6*Model!D74,IF(Model!$B$5&gt;3,'Vstupní hodnoty'!$H$5*Model!D74,IF(Model!$B$5&gt;1,'Vstupní hodnoty'!$H$4*Model!D74,0)))))</f>
        <v>13851</v>
      </c>
      <c r="K74" s="5">
        <f>F74+G74+H74+E74*'Vstupní hodnoty'!L$4+J74*'Vstupní hodnoty'!L$4+I74*'Vstupní hodnoty'!L$4</f>
        <v>156933.92142857143</v>
      </c>
      <c r="L74" s="5">
        <f t="shared" si="17"/>
        <v>1937.4558201058201</v>
      </c>
      <c r="X74" s="14">
        <v>81</v>
      </c>
      <c r="Y74" s="5">
        <f>INDEX('Vstupní hodnoty'!$A$4:$A$15, MATCH(Model!$V$2,'Vstupní hodnoty'!$B$4:$B$15,0))/30*(X74+1*X74/7)</f>
        <v>142344</v>
      </c>
      <c r="Z74">
        <f t="shared" si="18"/>
        <v>0</v>
      </c>
      <c r="AA74">
        <f t="shared" si="13"/>
        <v>24000</v>
      </c>
      <c r="AB74">
        <f>IF(X74&lt;14, 0, IF(AND(X74&gt;20,$V$4&lt;3,$V$3&lt;2), 'Vstupní hodnoty'!$I$6, IF(AND(X74&gt;20, $V$4&lt;4, $V$3&lt;4), 'Vstupní hodnoty'!$I$5, 'Vstupní hodnoty'!$I$4)))</f>
        <v>27000</v>
      </c>
      <c r="AC74">
        <f>IF($V$7=1, 'Vstupní hodnoty'!$J$4*(2/3)/30*Model!X74, 0)</f>
        <v>0</v>
      </c>
      <c r="AD74">
        <f>IF(Model!$V$5&gt;12,'Vstupní hodnoty'!$H$8*Model!X74,IF(Model!$V$5&gt;9,'Vstupní hodnoty'!$H$7*Model!X74,IF(Model!$V$5&gt;6,'Vstupní hodnoty'!$H$6*Model!X74,IF(Model!$V$5&gt;3,'Vstupní hodnoty'!$H$5*Model!X74,IF(Model!$V$5&gt;1,'Vstupní hodnoty'!$H$4*Model!X74,0)))))</f>
        <v>20817</v>
      </c>
      <c r="AE74" s="5">
        <f>Z74+AA74+AB74+Y74*'Vstupní hodnoty'!L$4+AD74*'Vstupní hodnoty'!L$4+AC74*'Vstupní hodnoty'!L$4</f>
        <v>189686.85</v>
      </c>
      <c r="AF74" s="5">
        <f t="shared" si="19"/>
        <v>2341.812962962963</v>
      </c>
      <c r="AK74" s="14">
        <v>81</v>
      </c>
      <c r="AL74" s="5">
        <f>INDEX('Vstupní hodnoty'!$A$4:$A$15, MATCH(Model!$AI$2,'Vstupní hodnoty'!$B$4:$B$15,0))/30*(AK74+1*AK74/7)</f>
        <v>142344</v>
      </c>
      <c r="AM74">
        <f t="shared" si="20"/>
        <v>0</v>
      </c>
      <c r="AN74">
        <f t="shared" si="14"/>
        <v>24000</v>
      </c>
      <c r="AO74">
        <f>IF(OR(AK74&lt;14, AI$3=4, AI$4=4),0,IF(AK74&lt;21,'Vstupní hodnoty'!N$4,IF(AK74&lt;28,'Vstupní hodnoty'!N$5,IF(AK74&lt;35,'Vstupní hodnoty'!N$6,'Vstupní hodnoty'!N$6))))+IF(OR(AK74&lt;21, AI$4=4),0,IF(AI$3&lt;2,'Vstupní hodnoty'!O$6*'Vstupní hodnoty'!$A$17*(AK74-20),IF(Model!AI$3&lt;3,'Vstupní hodnoty'!O$5*'Vstupní hodnoty'!$A$17*(AK74-20),IF(Model!AI$3&lt;4,'Vstupní hodnoty'!O$4*'Vstupní hodnoty'!$A$17*(AK74-20),0))))+IF(OR(AK74&lt;21, AI$3=4), 0, IF(AI$4=1, 'Vstupní hodnoty'!P$6, IF(Model!AI$4=2, 'Vstupní hodnoty'!P$5, IF(Model!AI$4=3, 'Vstupní hodnoty'!P$4, 0))))</f>
        <v>56368</v>
      </c>
      <c r="AP74">
        <f>IF($AI$7=1, 'Vstupní hodnoty'!J$4*(2/3)/30*Model!AK74, 0)</f>
        <v>0</v>
      </c>
      <c r="AQ74">
        <f>IF(Model!$AI$5&gt;12,'Vstupní hodnoty'!$H$8*Model!AK74,IF(Model!$AI$5&gt;9,'Vstupní hodnoty'!$H$7*Model!AK74,IF(Model!$AI$5&gt;6,'Vstupní hodnoty'!$H$6*Model!AK74,IF(Model!$AI$5&gt;3,'Vstupní hodnoty'!$H$5*Model!AK74,IF(Model!$AI$5&gt;1,'Vstupní hodnoty'!$H$4*Model!AK74,0)))))</f>
        <v>20817</v>
      </c>
      <c r="AR74" s="5">
        <f>AM74+AN74+AO74+AL74*'Vstupní hodnoty'!L$4+AQ74*'Vstupní hodnoty'!L$4+AP74*'Vstupní hodnoty'!L$4</f>
        <v>219054.85</v>
      </c>
      <c r="AS74" s="5">
        <f t="shared" si="21"/>
        <v>2704.3808641975311</v>
      </c>
      <c r="AX74" s="14">
        <v>81</v>
      </c>
      <c r="AY74" s="5">
        <f>INDEX('Vstupní hodnoty'!$A$4:$A$15, MATCH(Model!$AV$2,'Vstupní hodnoty'!$B$4:$B$15,0))/30*(AX74+1*AX74/7)</f>
        <v>110777.14285714286</v>
      </c>
      <c r="AZ74">
        <f t="shared" si="22"/>
        <v>0</v>
      </c>
      <c r="BA74">
        <f t="shared" si="15"/>
        <v>24000</v>
      </c>
      <c r="BB74" s="5">
        <f>IF(OR(AV$3=4,AV$4=4),0,'Roční bonus alt 2'!D73)+IF(OR(AX74&lt;21,AV$3=4,AV$4=4),0,IF(AV$3&lt;2,'Vstupní hodnoty'!O$6*'Vstupní hodnoty'!$A$17*(Model!AX74-20),IF(Model!AV$3&lt;3,'Vstupní hodnoty'!O$5*'Vstupní hodnoty'!$A$17*(Model!AX74-20),IF(Model!AV$3&lt;4,'Vstupní hodnoty'!O$4*'Vstupní hodnoty'!$A$17*(Model!AX74-20),0))))+IF(OR(AX74&lt;21,AV$3=4,AV$4=4),0,IF(AV$4=1,'Vstupní hodnoty'!P$6,IF(Model!AV$4=2,'Vstupní hodnoty'!P$5,IF(Model!AV$4=3,'Vstupní hodnoty'!P$4,0))))</f>
        <v>117381.33333333334</v>
      </c>
      <c r="BC74">
        <f>IF($AV$7=1, 'Vstupní hodnoty'!J$4*(2/3)/30*Model!AX74, 0)</f>
        <v>0</v>
      </c>
      <c r="BD74">
        <f>IF(Model!$AV$5&gt;12,'Vstupní hodnoty'!$Q$8*Model!AX74,IF(Model!$AV$5&gt;9,'Vstupní hodnoty'!$Q$7*Model!AX74,IF(Model!$AV$5&gt;6,'Vstupní hodnoty'!$Q$6*Model!AX74,IF(Model!$AV$5&gt;3,'Vstupní hodnoty'!$Q$5*Model!AX74,IF(Model!$AV$5&gt;1,'Vstupní hodnoty'!$Q$4*Model!AX74,0)))))</f>
        <v>25272</v>
      </c>
      <c r="BE74" s="5">
        <f>AZ74+BA74+BB74+AY74*'Vstupní hodnoty'!L$4+BD74*'Vstupní hodnoty'!L$4+BC74*'Vstupní hodnoty'!L$4</f>
        <v>257023.10476190477</v>
      </c>
      <c r="BF74" s="5">
        <f t="shared" si="23"/>
        <v>3173.1247501469725</v>
      </c>
    </row>
    <row r="75" spans="4:58" x14ac:dyDescent="0.2">
      <c r="D75" s="14">
        <v>82</v>
      </c>
      <c r="E75" s="5">
        <f>INDEX('Vstupní hodnoty'!$A$4:$A$15, MATCH(Model!$B$2,'Vstupní hodnoty'!$B$4:$B$15,0))/30*(D75+1*D75/7)</f>
        <v>112144.76190476191</v>
      </c>
      <c r="F75">
        <f t="shared" si="16"/>
        <v>0</v>
      </c>
      <c r="G75">
        <f t="shared" si="12"/>
        <v>24000</v>
      </c>
      <c r="H75">
        <f>IF(D75&lt;14, 0, IF(AND(D75&gt;20,$B$4&lt;3,$B$3&lt;2), 'Vstupní hodnoty'!K$6, IF(AND(D75&gt;20, $B$4&lt;3, $B$3&lt;4), 'Vstupní hodnoty'!$K$5, 'Vstupní hodnoty'!$K$4)))</f>
        <v>27000</v>
      </c>
      <c r="I75">
        <f>IF($B$7=1, 'Vstupní hodnoty'!J$4*(2/3)/30*Model!D75, 0)</f>
        <v>0</v>
      </c>
      <c r="J75">
        <f>IF(Model!$B$5&gt;12,'Vstupní hodnoty'!$H$8*Model!D75,IF(Model!$B$5&gt;9,'Vstupní hodnoty'!$H$7*Model!D75,IF(Model!$B$5&gt;6,'Vstupní hodnoty'!$H$6*Model!D75,IF(Model!$B$5&gt;3,'Vstupní hodnoty'!$H$5*Model!D75,IF(Model!$B$5&gt;1,'Vstupní hodnoty'!$H$4*Model!D75,0)))))</f>
        <v>14022</v>
      </c>
      <c r="K75" s="5">
        <f>F75+G75+H75+E75*'Vstupní hodnoty'!L$4+J75*'Vstupní hodnoty'!L$4+I75*'Vstupní hodnoty'!L$4</f>
        <v>158241.74761904764</v>
      </c>
      <c r="L75" s="5">
        <f t="shared" si="17"/>
        <v>1929.7774099883859</v>
      </c>
      <c r="X75" s="14">
        <v>82</v>
      </c>
      <c r="Y75" s="5">
        <f>INDEX('Vstupní hodnoty'!$A$4:$A$15, MATCH(Model!$V$2,'Vstupní hodnoty'!$B$4:$B$15,0))/30*(X75+1*X75/7)</f>
        <v>144101.33333333334</v>
      </c>
      <c r="Z75">
        <f t="shared" si="18"/>
        <v>0</v>
      </c>
      <c r="AA75">
        <f t="shared" si="13"/>
        <v>24000</v>
      </c>
      <c r="AB75">
        <f>IF(X75&lt;14, 0, IF(AND(X75&gt;20,$V$4&lt;3,$V$3&lt;2), 'Vstupní hodnoty'!$I$6, IF(AND(X75&gt;20, $V$4&lt;4, $V$3&lt;4), 'Vstupní hodnoty'!$I$5, 'Vstupní hodnoty'!$I$4)))</f>
        <v>27000</v>
      </c>
      <c r="AC75">
        <f>IF($V$7=1, 'Vstupní hodnoty'!$J$4*(2/3)/30*Model!X75, 0)</f>
        <v>0</v>
      </c>
      <c r="AD75">
        <f>IF(Model!$V$5&gt;12,'Vstupní hodnoty'!$H$8*Model!X75,IF(Model!$V$5&gt;9,'Vstupní hodnoty'!$H$7*Model!X75,IF(Model!$V$5&gt;6,'Vstupní hodnoty'!$H$6*Model!X75,IF(Model!$V$5&gt;3,'Vstupní hodnoty'!$H$5*Model!X75,IF(Model!$V$5&gt;1,'Vstupní hodnoty'!$H$4*Model!X75,0)))))</f>
        <v>21074</v>
      </c>
      <c r="AE75" s="5">
        <f>Z75+AA75+AB75+Y75*'Vstupní hodnoty'!L$4+AD75*'Vstupní hodnoty'!L$4+AC75*'Vstupní hodnoty'!L$4</f>
        <v>191399.03333333333</v>
      </c>
      <c r="AF75" s="5">
        <f t="shared" si="19"/>
        <v>2334.1345528455286</v>
      </c>
      <c r="AK75" s="14">
        <v>82</v>
      </c>
      <c r="AL75" s="5">
        <f>INDEX('Vstupní hodnoty'!$A$4:$A$15, MATCH(Model!$AI$2,'Vstupní hodnoty'!$B$4:$B$15,0))/30*(AK75+1*AK75/7)</f>
        <v>144101.33333333334</v>
      </c>
      <c r="AM75">
        <f t="shared" si="20"/>
        <v>0</v>
      </c>
      <c r="AN75">
        <f t="shared" si="14"/>
        <v>24000</v>
      </c>
      <c r="AO75">
        <f>IF(OR(AK75&lt;14, AI$3=4, AI$4=4),0,IF(AK75&lt;21,'Vstupní hodnoty'!N$4,IF(AK75&lt;28,'Vstupní hodnoty'!N$5,IF(AK75&lt;35,'Vstupní hodnoty'!N$6,'Vstupní hodnoty'!N$6))))+IF(OR(AK75&lt;21, AI$4=4),0,IF(AI$3&lt;2,'Vstupní hodnoty'!O$6*'Vstupní hodnoty'!$A$17*(AK75-20),IF(Model!AI$3&lt;3,'Vstupní hodnoty'!O$5*'Vstupní hodnoty'!$A$17*(AK75-20),IF(Model!AI$3&lt;4,'Vstupní hodnoty'!O$4*'Vstupní hodnoty'!$A$17*(AK75-20),0))))+IF(OR(AK75&lt;21, AI$3=4), 0, IF(AI$4=1, 'Vstupní hodnoty'!P$6, IF(Model!AI$4=2, 'Vstupní hodnoty'!P$5, IF(Model!AI$4=3, 'Vstupní hodnoty'!P$4, 0))))</f>
        <v>56576</v>
      </c>
      <c r="AP75">
        <f>IF($AI$7=1, 'Vstupní hodnoty'!J$4*(2/3)/30*Model!AK75, 0)</f>
        <v>0</v>
      </c>
      <c r="AQ75">
        <f>IF(Model!$AI$5&gt;12,'Vstupní hodnoty'!$H$8*Model!AK75,IF(Model!$AI$5&gt;9,'Vstupní hodnoty'!$H$7*Model!AK75,IF(Model!$AI$5&gt;6,'Vstupní hodnoty'!$H$6*Model!AK75,IF(Model!$AI$5&gt;3,'Vstupní hodnoty'!$H$5*Model!AK75,IF(Model!$AI$5&gt;1,'Vstupní hodnoty'!$H$4*Model!AK75,0)))))</f>
        <v>21074</v>
      </c>
      <c r="AR75" s="5">
        <f>AM75+AN75+AO75+AL75*'Vstupní hodnoty'!L$4+AQ75*'Vstupní hodnoty'!L$4+AP75*'Vstupní hodnoty'!L$4</f>
        <v>220975.03333333333</v>
      </c>
      <c r="AS75" s="5">
        <f t="shared" si="21"/>
        <v>2694.8174796747967</v>
      </c>
      <c r="AX75" s="14">
        <v>82</v>
      </c>
      <c r="AY75" s="5">
        <f>INDEX('Vstupní hodnoty'!$A$4:$A$15, MATCH(Model!$AV$2,'Vstupní hodnoty'!$B$4:$B$15,0))/30*(AX75+1*AX75/7)</f>
        <v>112144.76190476191</v>
      </c>
      <c r="AZ75">
        <f t="shared" si="22"/>
        <v>0</v>
      </c>
      <c r="BA75">
        <f t="shared" si="15"/>
        <v>24000</v>
      </c>
      <c r="BB75" s="5">
        <f>IF(OR(AV$3=4,AV$4=4),0,'Roční bonus alt 2'!D74)+IF(OR(AX75&lt;21,AV$3=4,AV$4=4),0,IF(AV$3&lt;2,'Vstupní hodnoty'!O$6*'Vstupní hodnoty'!$A$17*(Model!AX75-20),IF(Model!AV$3&lt;3,'Vstupní hodnoty'!O$5*'Vstupní hodnoty'!$A$17*(Model!AX75-20),IF(Model!AV$3&lt;4,'Vstupní hodnoty'!O$4*'Vstupní hodnoty'!$A$17*(Model!AX75-20),0))))+IF(OR(AX75&lt;21,AV$3=4,AV$4=4),0,IF(AV$4=1,'Vstupní hodnoty'!P$6,IF(Model!AV$4=2,'Vstupní hodnoty'!P$5,IF(Model!AV$4=3,'Vstupní hodnoty'!P$4,0))))</f>
        <v>118976</v>
      </c>
      <c r="BC75">
        <f>IF($AV$7=1, 'Vstupní hodnoty'!J$4*(2/3)/30*Model!AX75, 0)</f>
        <v>0</v>
      </c>
      <c r="BD75">
        <f>IF(Model!$AV$5&gt;12,'Vstupní hodnoty'!$Q$8*Model!AX75,IF(Model!$AV$5&gt;9,'Vstupní hodnoty'!$Q$7*Model!AX75,IF(Model!$AV$5&gt;6,'Vstupní hodnoty'!$Q$6*Model!AX75,IF(Model!$AV$5&gt;3,'Vstupní hodnoty'!$Q$5*Model!AX75,IF(Model!$AV$5&gt;1,'Vstupní hodnoty'!$Q$4*Model!AX75,0)))))</f>
        <v>25584</v>
      </c>
      <c r="BE75" s="5">
        <f>AZ75+BA75+BB75+AY75*'Vstupní hodnoty'!L$4+BD75*'Vstupní hodnoty'!L$4+BC75*'Vstupní hodnoty'!L$4</f>
        <v>260045.44761904763</v>
      </c>
      <c r="BF75" s="5">
        <f t="shared" si="23"/>
        <v>3171.2859465737515</v>
      </c>
    </row>
    <row r="76" spans="4:58" x14ac:dyDescent="0.2">
      <c r="D76" s="14">
        <v>83</v>
      </c>
      <c r="E76" s="5">
        <f>INDEX('Vstupní hodnoty'!$A$4:$A$15, MATCH(Model!$B$2,'Vstupní hodnoty'!$B$4:$B$15,0))/30*(D76+1*D76/7)</f>
        <v>113512.38095238096</v>
      </c>
      <c r="F76">
        <f t="shared" si="16"/>
        <v>0</v>
      </c>
      <c r="G76">
        <f>IF(F76=0, $B$6*2000/(B$6/12), 0)</f>
        <v>24000</v>
      </c>
      <c r="H76">
        <f>IF(D76&lt;14, 0, IF(AND(D76&gt;20,$B$4&lt;3,$B$3&lt;2), 'Vstupní hodnoty'!K$6, IF(AND(D76&gt;20, $B$4&lt;3, $B$3&lt;4), 'Vstupní hodnoty'!$K$5, 'Vstupní hodnoty'!$K$4)))</f>
        <v>27000</v>
      </c>
      <c r="I76">
        <f>IF($B$7=1, 'Vstupní hodnoty'!J$4*(2/3)/30*Model!D76, 0)</f>
        <v>0</v>
      </c>
      <c r="J76">
        <f>IF(Model!$B$5&gt;12,'Vstupní hodnoty'!$H$8*Model!D76,IF(Model!$B$5&gt;9,'Vstupní hodnoty'!$H$7*Model!D76,IF(Model!$B$5&gt;6,'Vstupní hodnoty'!$H$6*Model!D76,IF(Model!$B$5&gt;3,'Vstupní hodnoty'!$H$5*Model!D76,IF(Model!$B$5&gt;1,'Vstupní hodnoty'!$H$4*Model!D76,0)))))</f>
        <v>14193</v>
      </c>
      <c r="K76" s="5">
        <f>F76+G76+H76+E76*'Vstupní hodnoty'!L$4+J76*'Vstupní hodnoty'!L$4+I76*'Vstupní hodnoty'!L$4</f>
        <v>159549.5738095238</v>
      </c>
      <c r="L76" s="5">
        <f t="shared" si="17"/>
        <v>1922.2840218014917</v>
      </c>
      <c r="X76" s="14">
        <v>83</v>
      </c>
      <c r="Y76" s="5">
        <f>INDEX('Vstupní hodnoty'!$A$4:$A$15, MATCH(Model!$V$2,'Vstupní hodnoty'!$B$4:$B$15,0))/30*(X76+1*X76/7)</f>
        <v>145858.66666666669</v>
      </c>
      <c r="Z76">
        <f t="shared" si="18"/>
        <v>0</v>
      </c>
      <c r="AA76">
        <f t="shared" si="13"/>
        <v>24000</v>
      </c>
      <c r="AB76">
        <f>IF(X76&lt;14, 0, IF(AND(X76&gt;20,$V$4&lt;3,$V$3&lt;2), 'Vstupní hodnoty'!$I$6, IF(AND(X76&gt;20, $V$4&lt;4, $V$3&lt;4), 'Vstupní hodnoty'!$I$5, 'Vstupní hodnoty'!$I$4)))</f>
        <v>27000</v>
      </c>
      <c r="AC76">
        <f>IF($V$7=1, 'Vstupní hodnoty'!$J$4*(2/3)/30*Model!X76, 0)</f>
        <v>0</v>
      </c>
      <c r="AD76">
        <f>IF(Model!$V$5&gt;12,'Vstupní hodnoty'!$H$8*Model!X76,IF(Model!$V$5&gt;9,'Vstupní hodnoty'!$H$7*Model!X76,IF(Model!$V$5&gt;6,'Vstupní hodnoty'!$H$6*Model!X76,IF(Model!$V$5&gt;3,'Vstupní hodnoty'!$H$5*Model!X76,IF(Model!$V$5&gt;1,'Vstupní hodnoty'!$H$4*Model!X76,0)))))</f>
        <v>21331</v>
      </c>
      <c r="AE76" s="5">
        <f>Z76+AA76+AB76+Y76*'Vstupní hodnoty'!L$4+AD76*'Vstupní hodnoty'!L$4+AC76*'Vstupní hodnoty'!L$4</f>
        <v>193111.2166666667</v>
      </c>
      <c r="AF76" s="5">
        <f t="shared" si="19"/>
        <v>2326.6411646586348</v>
      </c>
      <c r="AK76" s="14">
        <v>83</v>
      </c>
      <c r="AL76" s="5">
        <f>INDEX('Vstupní hodnoty'!$A$4:$A$15, MATCH(Model!$AI$2,'Vstupní hodnoty'!$B$4:$B$15,0))/30*(AK76+1*AK76/7)</f>
        <v>145858.66666666669</v>
      </c>
      <c r="AM76">
        <f t="shared" si="20"/>
        <v>0</v>
      </c>
      <c r="AN76">
        <f t="shared" si="14"/>
        <v>24000</v>
      </c>
      <c r="AO76">
        <f>IF(OR(AK76&lt;14, AI$3=4, AI$4=4),0,IF(AK76&lt;21,'Vstupní hodnoty'!N$4,IF(AK76&lt;28,'Vstupní hodnoty'!N$5,IF(AK76&lt;35,'Vstupní hodnoty'!N$6,'Vstupní hodnoty'!N$6))))+IF(OR(AK76&lt;21, AI$4=4),0,IF(AI$3&lt;2,'Vstupní hodnoty'!O$6*'Vstupní hodnoty'!$A$17*(AK76-20),IF(Model!AI$3&lt;3,'Vstupní hodnoty'!O$5*'Vstupní hodnoty'!$A$17*(AK76-20),IF(Model!AI$3&lt;4,'Vstupní hodnoty'!O$4*'Vstupní hodnoty'!$A$17*(AK76-20),0))))+IF(OR(AK76&lt;21, AI$3=4), 0, IF(AI$4=1, 'Vstupní hodnoty'!P$6, IF(Model!AI$4=2, 'Vstupní hodnoty'!P$5, IF(Model!AI$4=3, 'Vstupní hodnoty'!P$4, 0))))</f>
        <v>56784</v>
      </c>
      <c r="AP76">
        <f>IF($AI$7=1, 'Vstupní hodnoty'!J$4*(2/3)/30*Model!AK76, 0)</f>
        <v>0</v>
      </c>
      <c r="AQ76">
        <f>IF(Model!$AI$5&gt;12,'Vstupní hodnoty'!$H$8*Model!AK76,IF(Model!$AI$5&gt;9,'Vstupní hodnoty'!$H$7*Model!AK76,IF(Model!$AI$5&gt;6,'Vstupní hodnoty'!$H$6*Model!AK76,IF(Model!$AI$5&gt;3,'Vstupní hodnoty'!$H$5*Model!AK76,IF(Model!$AI$5&gt;1,'Vstupní hodnoty'!$H$4*Model!AK76,0)))))</f>
        <v>21331</v>
      </c>
      <c r="AR76" s="5">
        <f>AM76+AN76+AO76+AL76*'Vstupní hodnoty'!L$4+AQ76*'Vstupní hodnoty'!L$4+AP76*'Vstupní hodnoty'!L$4</f>
        <v>222895.2166666667</v>
      </c>
      <c r="AS76" s="5">
        <f t="shared" si="21"/>
        <v>2685.4845381526111</v>
      </c>
      <c r="AX76" s="14">
        <v>83</v>
      </c>
      <c r="AY76" s="5">
        <f>INDEX('Vstupní hodnoty'!$A$4:$A$15, MATCH(Model!$AV$2,'Vstupní hodnoty'!$B$4:$B$15,0))/30*(AX76+1*AX76/7)</f>
        <v>113512.38095238096</v>
      </c>
      <c r="AZ76">
        <f t="shared" si="22"/>
        <v>0</v>
      </c>
      <c r="BA76">
        <f t="shared" si="15"/>
        <v>24000</v>
      </c>
      <c r="BB76" s="5">
        <f>IF(OR(AV$3=4,AV$4=4),0,'Roční bonus alt 2'!D75)+IF(OR(AX76&lt;21,AV$3=4,AV$4=4),0,IF(AV$3&lt;2,'Vstupní hodnoty'!O$6*'Vstupní hodnoty'!$A$17*(Model!AX76-20),IF(Model!AV$3&lt;3,'Vstupní hodnoty'!O$5*'Vstupní hodnoty'!$A$17*(Model!AX76-20),IF(Model!AV$3&lt;4,'Vstupní hodnoty'!O$4*'Vstupní hodnoty'!$A$17*(Model!AX76-20),0))))+IF(OR(AX76&lt;21,AV$3=4,AV$4=4),0,IF(AV$4=1,'Vstupní hodnoty'!P$6,IF(Model!AV$4=2,'Vstupní hodnoty'!P$5,IF(Model!AV$4=3,'Vstupní hodnoty'!P$4,0))))</f>
        <v>120570.66666666666</v>
      </c>
      <c r="BC76">
        <f>IF($AV$7=1, 'Vstupní hodnoty'!J$4*(2/3)/30*Model!AX76, 0)</f>
        <v>0</v>
      </c>
      <c r="BD76">
        <f>IF(Model!$AV$5&gt;12,'Vstupní hodnoty'!$Q$8*Model!AX76,IF(Model!$AV$5&gt;9,'Vstupní hodnoty'!$Q$7*Model!AX76,IF(Model!$AV$5&gt;6,'Vstupní hodnoty'!$Q$6*Model!AX76,IF(Model!$AV$5&gt;3,'Vstupní hodnoty'!$Q$5*Model!AX76,IF(Model!$AV$5&gt;1,'Vstupní hodnoty'!$Q$4*Model!AX76,0)))))</f>
        <v>25896</v>
      </c>
      <c r="BE76" s="5">
        <f>AZ76+BA76+BB76+AY76*'Vstupní hodnoty'!L$4+BD76*'Vstupní hodnoty'!L$4+BC76*'Vstupní hodnoty'!L$4</f>
        <v>263067.79047619045</v>
      </c>
      <c r="BF76" s="5">
        <f t="shared" si="23"/>
        <v>3169.4914515203668</v>
      </c>
    </row>
    <row r="77" spans="4:58" x14ac:dyDescent="0.2">
      <c r="D77" s="14">
        <v>84</v>
      </c>
      <c r="E77" s="5">
        <f>INDEX('Vstupní hodnoty'!$A$4:$A$15, MATCH(Model!$B$2,'Vstupní hodnoty'!$B$4:$B$15,0))/30*(D77+1*D77/7)</f>
        <v>114880</v>
      </c>
      <c r="F77">
        <f t="shared" si="16"/>
        <v>0</v>
      </c>
      <c r="G77">
        <f>IF(F77=0, $B$6*2000/(B$6/12), 0)</f>
        <v>24000</v>
      </c>
      <c r="H77">
        <f>IF(D77&lt;14, 0, IF(AND(D77&gt;20,$B$4&lt;3,$B$3&lt;2), 'Vstupní hodnoty'!K$6, IF(AND(D77&gt;20, $B$4&lt;3, $B$3&lt;4), 'Vstupní hodnoty'!$K$5, 'Vstupní hodnoty'!$K$4)))</f>
        <v>27000</v>
      </c>
      <c r="I77">
        <f>IF($B$7=1, 'Vstupní hodnoty'!J$4*(2/3)/30*Model!D77, 0)</f>
        <v>0</v>
      </c>
      <c r="J77">
        <f>IF(Model!$B$5&gt;12,'Vstupní hodnoty'!$H$8*Model!D77,IF(Model!$B$5&gt;9,'Vstupní hodnoty'!$H$7*Model!D77,IF(Model!$B$5&gt;6,'Vstupní hodnoty'!$H$6*Model!D77,IF(Model!$B$5&gt;3,'Vstupní hodnoty'!$H$5*Model!D77,IF(Model!$B$5&gt;1,'Vstupní hodnoty'!$H$4*Model!D77,0)))))</f>
        <v>14364</v>
      </c>
      <c r="K77" s="5">
        <f>F77+G77+H77+E77*'Vstupní hodnoty'!L$4+J77*'Vstupní hodnoty'!L$4+I77*'Vstupní hodnoty'!L$4</f>
        <v>160857.4</v>
      </c>
      <c r="L77" s="5">
        <f t="shared" si="17"/>
        <v>1914.9690476190476</v>
      </c>
      <c r="X77" s="14">
        <v>84</v>
      </c>
      <c r="Y77" s="5">
        <f>INDEX('Vstupní hodnoty'!$A$4:$A$15, MATCH(Model!$V$2,'Vstupní hodnoty'!$B$4:$B$15,0))/30*(X77+1*X77/7)</f>
        <v>147616</v>
      </c>
      <c r="Z77">
        <f t="shared" si="18"/>
        <v>0</v>
      </c>
      <c r="AA77">
        <f t="shared" si="13"/>
        <v>24000</v>
      </c>
      <c r="AB77">
        <f>IF(X77&lt;14, 0, IF(AND(X77&gt;20,$V$4&lt;3,$V$3&lt;2), 'Vstupní hodnoty'!$I$6, IF(AND(X77&gt;20, $V$4&lt;4, $V$3&lt;4), 'Vstupní hodnoty'!$I$5, 'Vstupní hodnoty'!$I$4)))</f>
        <v>27000</v>
      </c>
      <c r="AC77">
        <f>IF($V$7=1, 'Vstupní hodnoty'!$J$4*(2/3)/30*Model!X77, 0)</f>
        <v>0</v>
      </c>
      <c r="AD77">
        <f>IF(Model!$V$5&gt;12,'Vstupní hodnoty'!$H$8*Model!X77,IF(Model!$V$5&gt;9,'Vstupní hodnoty'!$H$7*Model!X77,IF(Model!$V$5&gt;6,'Vstupní hodnoty'!$H$6*Model!X77,IF(Model!$V$5&gt;3,'Vstupní hodnoty'!$H$5*Model!X77,IF(Model!$V$5&gt;1,'Vstupní hodnoty'!$H$4*Model!X77,0)))))</f>
        <v>21588</v>
      </c>
      <c r="AE77" s="5">
        <f>Z77+AA77+AB77+Y77*'Vstupní hodnoty'!L$4+AD77*'Vstupní hodnoty'!L$4+AC77*'Vstupní hodnoty'!L$4</f>
        <v>194823.39999999997</v>
      </c>
      <c r="AF77" s="5">
        <f t="shared" si="19"/>
        <v>2319.3261904761903</v>
      </c>
      <c r="AK77" s="14">
        <v>84</v>
      </c>
      <c r="AL77" s="5">
        <f>INDEX('Vstupní hodnoty'!$A$4:$A$15, MATCH(Model!$AI$2,'Vstupní hodnoty'!$B$4:$B$15,0))/30*(AK77+1*AK77/7)</f>
        <v>147616</v>
      </c>
      <c r="AM77">
        <f t="shared" si="20"/>
        <v>0</v>
      </c>
      <c r="AN77">
        <f t="shared" si="14"/>
        <v>24000</v>
      </c>
      <c r="AO77">
        <f>IF(OR(AK77&lt;14, AI$3=4, AI$4=4),0,IF(AK77&lt;21,'Vstupní hodnoty'!N$4,IF(AK77&lt;28,'Vstupní hodnoty'!N$5,IF(AK77&lt;35,'Vstupní hodnoty'!N$6,'Vstupní hodnoty'!N$6))))+IF(OR(AK77&lt;21, AI$4=4),0,IF(AI$3&lt;2,'Vstupní hodnoty'!O$6*'Vstupní hodnoty'!$A$17*(AK77-20),IF(Model!AI$3&lt;3,'Vstupní hodnoty'!O$5*'Vstupní hodnoty'!$A$17*(AK77-20),IF(Model!AI$3&lt;4,'Vstupní hodnoty'!O$4*'Vstupní hodnoty'!$A$17*(AK77-20),0))))+IF(OR(AK77&lt;21, AI$3=4), 0, IF(AI$4=1, 'Vstupní hodnoty'!P$6, IF(Model!AI$4=2, 'Vstupní hodnoty'!P$5, IF(Model!AI$4=3, 'Vstupní hodnoty'!P$4, 0))))</f>
        <v>56992</v>
      </c>
      <c r="AP77">
        <f>IF($AI$7=1, 'Vstupní hodnoty'!J$4*(2/3)/30*Model!AK77, 0)</f>
        <v>0</v>
      </c>
      <c r="AQ77">
        <f>IF(Model!$AI$5&gt;12,'Vstupní hodnoty'!$H$8*Model!AK77,IF(Model!$AI$5&gt;9,'Vstupní hodnoty'!$H$7*Model!AK77,IF(Model!$AI$5&gt;6,'Vstupní hodnoty'!$H$6*Model!AK77,IF(Model!$AI$5&gt;3,'Vstupní hodnoty'!$H$5*Model!AK77,IF(Model!$AI$5&gt;1,'Vstupní hodnoty'!$H$4*Model!AK77,0)))))</f>
        <v>21588</v>
      </c>
      <c r="AR77" s="5">
        <f>AM77+AN77+AO77+AL77*'Vstupní hodnoty'!L$4+AQ77*'Vstupní hodnoty'!L$4+AP77*'Vstupní hodnoty'!L$4</f>
        <v>224815.39999999997</v>
      </c>
      <c r="AS77" s="5">
        <f t="shared" si="21"/>
        <v>2676.3738095238091</v>
      </c>
      <c r="AX77" s="14">
        <v>84</v>
      </c>
      <c r="AY77" s="5">
        <f>INDEX('Vstupní hodnoty'!$A$4:$A$15, MATCH(Model!$AV$2,'Vstupní hodnoty'!$B$4:$B$15,0))/30*(AX77+1*AX77/7)</f>
        <v>114880</v>
      </c>
      <c r="AZ77">
        <f t="shared" si="22"/>
        <v>0</v>
      </c>
      <c r="BA77">
        <f t="shared" si="15"/>
        <v>24000</v>
      </c>
      <c r="BB77" s="5">
        <f>IF(OR(AV$3=4,AV$4=4),0,'Roční bonus alt 2'!D76)+IF(OR(AX77&lt;21,AV$3=4,AV$4=4),0,IF(AV$3&lt;2,'Vstupní hodnoty'!O$6*'Vstupní hodnoty'!$A$17*(Model!AX77-20),IF(Model!AV$3&lt;3,'Vstupní hodnoty'!O$5*'Vstupní hodnoty'!$A$17*(Model!AX77-20),IF(Model!AV$3&lt;4,'Vstupní hodnoty'!O$4*'Vstupní hodnoty'!$A$17*(Model!AX77-20),0))))+IF(OR(AX77&lt;21,AV$3=4,AV$4=4),0,IF(AV$4=1,'Vstupní hodnoty'!P$6,IF(Model!AV$4=2,'Vstupní hodnoty'!P$5,IF(Model!AV$4=3,'Vstupní hodnoty'!P$4,0))))</f>
        <v>122165.33333333334</v>
      </c>
      <c r="BC77">
        <f>IF($AV$7=1, 'Vstupní hodnoty'!J$4*(2/3)/30*Model!AX77, 0)</f>
        <v>0</v>
      </c>
      <c r="BD77">
        <f>IF(Model!$AV$5&gt;12,'Vstupní hodnoty'!$Q$8*Model!AX77,IF(Model!$AV$5&gt;9,'Vstupní hodnoty'!$Q$7*Model!AX77,IF(Model!$AV$5&gt;6,'Vstupní hodnoty'!$Q$6*Model!AX77,IF(Model!$AV$5&gt;3,'Vstupní hodnoty'!$Q$5*Model!AX77,IF(Model!$AV$5&gt;1,'Vstupní hodnoty'!$Q$4*Model!AX77,0)))))</f>
        <v>26208</v>
      </c>
      <c r="BE77" s="5">
        <f>AZ77+BA77+BB77+AY77*'Vstupní hodnoty'!L$4+BD77*'Vstupní hodnoty'!L$4+BC77*'Vstupní hodnoty'!L$4</f>
        <v>266090.13333333336</v>
      </c>
      <c r="BF77" s="5">
        <f t="shared" si="23"/>
        <v>3167.7396825396827</v>
      </c>
    </row>
  </sheetData>
  <mergeCells count="8">
    <mergeCell ref="AY1:BF1"/>
    <mergeCell ref="A1:B1"/>
    <mergeCell ref="U1:V1"/>
    <mergeCell ref="AH1:AI1"/>
    <mergeCell ref="AU1:AV1"/>
    <mergeCell ref="D1:L1"/>
    <mergeCell ref="X1:AF1"/>
    <mergeCell ref="AL1:AS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E662A07-FF25-0A49-803D-B47ABA223714}">
          <x14:formula1>
            <xm:f>'Vstupní hodnoty'!$B$4:$B$15</xm:f>
          </x14:formula1>
          <xm:sqref>B2 V2 AI2 AV2</xm:sqref>
        </x14:dataValidation>
        <x14:dataValidation type="list" allowBlank="1" showInputMessage="1" showErrorMessage="1" xr:uid="{8BFBBBAC-3907-944A-82A7-E12EFF228773}">
          <x14:formula1>
            <xm:f>'Vstupní hodnoty'!$C$4:$C$7</xm:f>
          </x14:formula1>
          <xm:sqref>B3 V3 AI3 AV3</xm:sqref>
        </x14:dataValidation>
        <x14:dataValidation type="list" allowBlank="1" showInputMessage="1" showErrorMessage="1" xr:uid="{E2B38A8D-43B2-1047-ABDE-8195B895CA00}">
          <x14:formula1>
            <xm:f>'Vstupní hodnoty'!$D$4:$D$7</xm:f>
          </x14:formula1>
          <xm:sqref>B4 V4 AI4 AV4</xm:sqref>
        </x14:dataValidation>
        <x14:dataValidation type="list" allowBlank="1" showInputMessage="1" showErrorMessage="1" xr:uid="{87C06B4F-82B7-5742-94DC-492729A8F9A4}">
          <x14:formula1>
            <xm:f>'Vstupní hodnoty'!$E$4:$E$19</xm:f>
          </x14:formula1>
          <xm:sqref>B5 V5 AI5 AV5</xm:sqref>
        </x14:dataValidation>
        <x14:dataValidation type="list" allowBlank="1" showInputMessage="1" showErrorMessage="1" xr:uid="{626AF7A4-EA9C-874D-BB8F-E7C90CE784F7}">
          <x14:formula1>
            <xm:f>'Vstupní hodnoty'!$F$4:$F$7</xm:f>
          </x14:formula1>
          <xm:sqref>B6 V6 AI6 AV6</xm:sqref>
        </x14:dataValidation>
        <x14:dataValidation type="list" allowBlank="1" showInputMessage="1" showErrorMessage="1" xr:uid="{11461729-4660-EA48-8E1B-CE33AEF63B56}">
          <x14:formula1>
            <xm:f>'Vstupní hodnoty'!$G$4:$G$5</xm:f>
          </x14:formula1>
          <xm:sqref>B7 V7 AI7 AV7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5BFE-64E6-F340-92C3-3ED01FF21D55}">
  <dimension ref="A1:W22"/>
  <sheetViews>
    <sheetView workbookViewId="0">
      <selection activeCell="S12" sqref="S12"/>
    </sheetView>
  </sheetViews>
  <sheetFormatPr baseColWidth="10" defaultRowHeight="16" x14ac:dyDescent="0.2"/>
  <cols>
    <col min="1" max="1" width="7.6640625" customWidth="1"/>
    <col min="2" max="2" width="15.5" customWidth="1"/>
    <col min="3" max="4" width="9.33203125" customWidth="1"/>
    <col min="5" max="12" width="9.1640625" customWidth="1"/>
    <col min="14" max="14" width="13.33203125" bestFit="1" customWidth="1"/>
  </cols>
  <sheetData>
    <row r="1" spans="1:23" x14ac:dyDescent="0.2">
      <c r="N1" s="132" t="s">
        <v>88</v>
      </c>
      <c r="O1" s="132"/>
      <c r="P1" s="132"/>
      <c r="Q1" s="132"/>
      <c r="R1" s="119"/>
    </row>
    <row r="2" spans="1:23" ht="37" customHeight="1" x14ac:dyDescent="0.2">
      <c r="A2" s="134" t="s">
        <v>89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10"/>
      <c r="N2" s="133"/>
      <c r="O2" s="133"/>
      <c r="P2" s="133"/>
      <c r="Q2" s="133"/>
      <c r="R2" s="119"/>
      <c r="T2" s="129" t="s">
        <v>142</v>
      </c>
      <c r="U2" s="130"/>
      <c r="V2" s="130"/>
      <c r="W2" s="131"/>
    </row>
    <row r="3" spans="1:23" s="3" customFormat="1" ht="52" thickBot="1" x14ac:dyDescent="0.25">
      <c r="A3" s="15" t="s">
        <v>0</v>
      </c>
      <c r="B3" s="15" t="s">
        <v>3</v>
      </c>
      <c r="C3" s="15" t="s">
        <v>81</v>
      </c>
      <c r="D3" s="15" t="s">
        <v>90</v>
      </c>
      <c r="E3" s="15" t="s">
        <v>4</v>
      </c>
      <c r="F3" s="15" t="s">
        <v>82</v>
      </c>
      <c r="G3" s="15" t="s">
        <v>5</v>
      </c>
      <c r="H3" s="15" t="s">
        <v>19</v>
      </c>
      <c r="I3" s="15" t="s">
        <v>74</v>
      </c>
      <c r="J3" s="15" t="s">
        <v>83</v>
      </c>
      <c r="K3" s="15" t="s">
        <v>74</v>
      </c>
      <c r="L3" s="15" t="s">
        <v>115</v>
      </c>
      <c r="N3" s="15" t="s">
        <v>84</v>
      </c>
      <c r="O3" s="15" t="s">
        <v>85</v>
      </c>
      <c r="P3" s="15" t="s">
        <v>86</v>
      </c>
      <c r="Q3" s="15" t="s">
        <v>87</v>
      </c>
      <c r="R3" s="118"/>
      <c r="S3" s="3" t="s">
        <v>145</v>
      </c>
      <c r="T3" s="40" t="s">
        <v>71</v>
      </c>
      <c r="U3" s="15" t="s">
        <v>33</v>
      </c>
      <c r="V3" s="105" t="s">
        <v>143</v>
      </c>
      <c r="W3" s="41" t="s">
        <v>34</v>
      </c>
    </row>
    <row r="4" spans="1:23" ht="17" thickTop="1" x14ac:dyDescent="0.2">
      <c r="A4">
        <v>61720</v>
      </c>
      <c r="B4" t="s">
        <v>16</v>
      </c>
      <c r="C4">
        <v>1</v>
      </c>
      <c r="D4">
        <v>1</v>
      </c>
      <c r="E4" s="68">
        <v>0</v>
      </c>
      <c r="F4">
        <v>24</v>
      </c>
      <c r="G4">
        <v>0</v>
      </c>
      <c r="H4">
        <v>171</v>
      </c>
      <c r="I4">
        <v>18000</v>
      </c>
      <c r="J4">
        <v>46557</v>
      </c>
      <c r="K4">
        <v>18000</v>
      </c>
      <c r="L4">
        <v>0.85</v>
      </c>
      <c r="N4">
        <f>A17</f>
        <v>20800</v>
      </c>
      <c r="O4">
        <v>0</v>
      </c>
      <c r="P4">
        <f>A$17/100*0</f>
        <v>0</v>
      </c>
      <c r="Q4">
        <f>V4</f>
        <v>208</v>
      </c>
      <c r="S4" t="s">
        <v>146</v>
      </c>
      <c r="T4" s="38">
        <v>171</v>
      </c>
      <c r="U4" s="5">
        <f>T4/T$4</f>
        <v>1</v>
      </c>
      <c r="V4" s="69">
        <f>A$17/100*W4</f>
        <v>208</v>
      </c>
      <c r="W4" s="35">
        <v>1</v>
      </c>
    </row>
    <row r="5" spans="1:23" ht="19" x14ac:dyDescent="0.2">
      <c r="A5">
        <v>54130</v>
      </c>
      <c r="B5" t="s">
        <v>17</v>
      </c>
      <c r="C5">
        <v>2</v>
      </c>
      <c r="D5">
        <v>2</v>
      </c>
      <c r="E5">
        <v>1</v>
      </c>
      <c r="F5">
        <v>36</v>
      </c>
      <c r="G5">
        <v>1</v>
      </c>
      <c r="H5">
        <v>214</v>
      </c>
      <c r="I5">
        <v>24000</v>
      </c>
      <c r="K5">
        <v>24000</v>
      </c>
      <c r="M5" s="1"/>
      <c r="N5">
        <f>A$17*1.5</f>
        <v>31200</v>
      </c>
      <c r="O5">
        <v>5.0000000000000001E-3</v>
      </c>
      <c r="P5">
        <f>A$17/100*5</f>
        <v>1040</v>
      </c>
      <c r="Q5">
        <f>V5</f>
        <v>260</v>
      </c>
      <c r="S5" t="s">
        <v>147</v>
      </c>
      <c r="T5" s="38">
        <v>214</v>
      </c>
      <c r="U5" s="5">
        <f>T5/T$4</f>
        <v>1.2514619883040936</v>
      </c>
      <c r="V5" s="69">
        <f>A$17/100*W5</f>
        <v>260</v>
      </c>
      <c r="W5" s="35">
        <v>1.25</v>
      </c>
    </row>
    <row r="6" spans="1:23" x14ac:dyDescent="0.2">
      <c r="A6">
        <v>48080</v>
      </c>
      <c r="B6" t="s">
        <v>18</v>
      </c>
      <c r="C6">
        <v>3</v>
      </c>
      <c r="D6">
        <v>3</v>
      </c>
      <c r="E6">
        <v>2</v>
      </c>
      <c r="F6">
        <v>48</v>
      </c>
      <c r="H6">
        <v>257</v>
      </c>
      <c r="I6">
        <v>27000</v>
      </c>
      <c r="K6">
        <v>27000</v>
      </c>
      <c r="N6">
        <f>A$17*2</f>
        <v>41600</v>
      </c>
      <c r="O6">
        <v>0.01</v>
      </c>
      <c r="P6">
        <f>A$17/100*10</f>
        <v>2080</v>
      </c>
      <c r="Q6">
        <f>V6</f>
        <v>312</v>
      </c>
      <c r="S6" t="s">
        <v>148</v>
      </c>
      <c r="T6" s="38">
        <v>257</v>
      </c>
      <c r="U6" s="5">
        <f>T6/T$4</f>
        <v>1.5029239766081872</v>
      </c>
      <c r="V6" s="69">
        <f>A$17/100*W6</f>
        <v>312</v>
      </c>
      <c r="W6" s="35">
        <v>1.5</v>
      </c>
    </row>
    <row r="7" spans="1:23" x14ac:dyDescent="0.2">
      <c r="A7">
        <v>70490</v>
      </c>
      <c r="B7" s="2" t="s">
        <v>7</v>
      </c>
      <c r="C7">
        <v>4</v>
      </c>
      <c r="D7">
        <v>4</v>
      </c>
      <c r="E7">
        <v>3</v>
      </c>
      <c r="F7">
        <v>60</v>
      </c>
      <c r="H7">
        <v>300</v>
      </c>
      <c r="Q7">
        <f>V7</f>
        <v>364</v>
      </c>
      <c r="S7" t="s">
        <v>149</v>
      </c>
      <c r="T7" s="38">
        <v>300</v>
      </c>
      <c r="U7" s="5">
        <f>T7/T$4</f>
        <v>1.7543859649122806</v>
      </c>
      <c r="V7" s="69">
        <f>A$17/100*W7</f>
        <v>364</v>
      </c>
      <c r="W7" s="35">
        <v>1.75</v>
      </c>
    </row>
    <row r="8" spans="1:23" ht="17" thickBot="1" x14ac:dyDescent="0.25">
      <c r="A8">
        <v>55420</v>
      </c>
      <c r="B8" s="2" t="s">
        <v>8</v>
      </c>
      <c r="E8">
        <v>4</v>
      </c>
      <c r="H8">
        <v>343</v>
      </c>
      <c r="Q8">
        <f>V8</f>
        <v>416</v>
      </c>
      <c r="S8" t="s">
        <v>150</v>
      </c>
      <c r="T8" s="39">
        <v>343</v>
      </c>
      <c r="U8" s="20">
        <f>T8/T$4</f>
        <v>2.0058479532163744</v>
      </c>
      <c r="V8" s="106">
        <f>A$17/100*W8</f>
        <v>416</v>
      </c>
      <c r="W8" s="36">
        <v>2</v>
      </c>
    </row>
    <row r="9" spans="1:23" ht="18" thickTop="1" thickBot="1" x14ac:dyDescent="0.25">
      <c r="A9">
        <v>52059</v>
      </c>
      <c r="B9" s="2" t="s">
        <v>9</v>
      </c>
      <c r="E9">
        <v>5</v>
      </c>
      <c r="N9" s="144" t="s">
        <v>30</v>
      </c>
      <c r="O9" s="145"/>
      <c r="P9" s="145"/>
      <c r="Q9" s="146"/>
      <c r="R9" s="9"/>
    </row>
    <row r="10" spans="1:23" ht="16" customHeight="1" x14ac:dyDescent="0.2">
      <c r="A10">
        <v>48950</v>
      </c>
      <c r="B10" s="2" t="s">
        <v>10</v>
      </c>
      <c r="E10">
        <v>6</v>
      </c>
      <c r="N10" s="135" t="s">
        <v>144</v>
      </c>
      <c r="O10" s="136"/>
      <c r="P10" s="136"/>
      <c r="Q10" s="137"/>
      <c r="R10" s="120"/>
    </row>
    <row r="11" spans="1:23" x14ac:dyDescent="0.2">
      <c r="A11">
        <v>46130</v>
      </c>
      <c r="B11" s="2" t="s">
        <v>11</v>
      </c>
      <c r="E11">
        <v>7</v>
      </c>
      <c r="N11" s="138"/>
      <c r="O11" s="139"/>
      <c r="P11" s="139"/>
      <c r="Q11" s="140"/>
      <c r="R11" s="120"/>
    </row>
    <row r="12" spans="1:23" x14ac:dyDescent="0.2">
      <c r="A12">
        <v>43340</v>
      </c>
      <c r="B12" s="2" t="s">
        <v>12</v>
      </c>
      <c r="E12">
        <v>8</v>
      </c>
      <c r="N12" s="138"/>
      <c r="O12" s="139"/>
      <c r="P12" s="139"/>
      <c r="Q12" s="140"/>
      <c r="R12" s="120"/>
    </row>
    <row r="13" spans="1:23" x14ac:dyDescent="0.2">
      <c r="A13">
        <v>37770</v>
      </c>
      <c r="B13" s="2" t="s">
        <v>13</v>
      </c>
      <c r="E13">
        <v>9</v>
      </c>
      <c r="N13" s="138"/>
      <c r="O13" s="139"/>
      <c r="P13" s="139"/>
      <c r="Q13" s="140"/>
      <c r="R13" s="120"/>
    </row>
    <row r="14" spans="1:23" x14ac:dyDescent="0.2">
      <c r="A14">
        <v>35900</v>
      </c>
      <c r="B14" s="2" t="s">
        <v>14</v>
      </c>
      <c r="E14">
        <v>10</v>
      </c>
      <c r="N14" s="138"/>
      <c r="O14" s="139"/>
      <c r="P14" s="139"/>
      <c r="Q14" s="140"/>
      <c r="R14" s="120"/>
    </row>
    <row r="15" spans="1:23" x14ac:dyDescent="0.2">
      <c r="A15">
        <v>34200</v>
      </c>
      <c r="B15" s="2" t="s">
        <v>15</v>
      </c>
      <c r="E15">
        <v>11</v>
      </c>
      <c r="N15" s="138"/>
      <c r="O15" s="139"/>
      <c r="P15" s="139"/>
      <c r="Q15" s="140"/>
      <c r="R15" s="120"/>
    </row>
    <row r="16" spans="1:23" x14ac:dyDescent="0.2">
      <c r="A16" s="37"/>
      <c r="B16" s="37"/>
      <c r="E16">
        <v>12</v>
      </c>
      <c r="N16" s="138"/>
      <c r="O16" s="139"/>
      <c r="P16" s="139"/>
      <c r="Q16" s="140"/>
      <c r="R16" s="120"/>
    </row>
    <row r="17" spans="1:18" x14ac:dyDescent="0.2">
      <c r="A17">
        <v>20800</v>
      </c>
      <c r="B17" s="2" t="s">
        <v>73</v>
      </c>
      <c r="E17">
        <v>13</v>
      </c>
      <c r="N17" s="138"/>
      <c r="O17" s="139"/>
      <c r="P17" s="139"/>
      <c r="Q17" s="140"/>
      <c r="R17" s="120"/>
    </row>
    <row r="18" spans="1:18" x14ac:dyDescent="0.2">
      <c r="E18">
        <v>14</v>
      </c>
      <c r="N18" s="138"/>
      <c r="O18" s="139"/>
      <c r="P18" s="139"/>
      <c r="Q18" s="140"/>
      <c r="R18" s="120"/>
    </row>
    <row r="19" spans="1:18" x14ac:dyDescent="0.2">
      <c r="E19">
        <v>15</v>
      </c>
      <c r="N19" s="138"/>
      <c r="O19" s="139"/>
      <c r="P19" s="139"/>
      <c r="Q19" s="140"/>
      <c r="R19" s="120"/>
    </row>
    <row r="20" spans="1:18" x14ac:dyDescent="0.2">
      <c r="N20" s="138"/>
      <c r="O20" s="139"/>
      <c r="P20" s="139"/>
      <c r="Q20" s="140"/>
      <c r="R20" s="120"/>
    </row>
    <row r="21" spans="1:18" x14ac:dyDescent="0.2">
      <c r="A21" t="s">
        <v>91</v>
      </c>
      <c r="B21" t="s">
        <v>95</v>
      </c>
      <c r="N21" s="138"/>
      <c r="O21" s="139"/>
      <c r="P21" s="139"/>
      <c r="Q21" s="140"/>
      <c r="R21" s="120"/>
    </row>
    <row r="22" spans="1:18" ht="17" thickBot="1" x14ac:dyDescent="0.25">
      <c r="A22" t="s">
        <v>92</v>
      </c>
      <c r="B22" t="s">
        <v>97</v>
      </c>
      <c r="N22" s="141"/>
      <c r="O22" s="142"/>
      <c r="P22" s="142"/>
      <c r="Q22" s="143"/>
      <c r="R22" s="120"/>
    </row>
  </sheetData>
  <mergeCells count="5">
    <mergeCell ref="T2:W2"/>
    <mergeCell ref="N1:Q2"/>
    <mergeCell ref="A2:K2"/>
    <mergeCell ref="N10:Q22"/>
    <mergeCell ref="N9:Q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E1ED4-13B1-2E4A-85F7-889CE1C9DA78}">
  <dimension ref="A1:K76"/>
  <sheetViews>
    <sheetView workbookViewId="0">
      <selection activeCell="F8" sqref="F8"/>
    </sheetView>
  </sheetViews>
  <sheetFormatPr baseColWidth="10" defaultRowHeight="16" x14ac:dyDescent="0.2"/>
  <cols>
    <col min="3" max="3" width="13.33203125" style="5" bestFit="1" customWidth="1"/>
    <col min="4" max="4" width="12.5" style="5" bestFit="1" customWidth="1"/>
  </cols>
  <sheetData>
    <row r="1" spans="1:11" ht="35" thickBot="1" x14ac:dyDescent="0.25">
      <c r="A1" s="64" t="s">
        <v>32</v>
      </c>
      <c r="B1" s="65" t="s">
        <v>94</v>
      </c>
      <c r="C1" s="66" t="s">
        <v>37</v>
      </c>
      <c r="D1" s="67" t="s">
        <v>38</v>
      </c>
      <c r="E1" s="3"/>
      <c r="F1" s="42" t="s">
        <v>72</v>
      </c>
      <c r="H1" s="156" t="s">
        <v>36</v>
      </c>
      <c r="I1" s="156"/>
      <c r="J1" s="156"/>
      <c r="K1" s="156"/>
    </row>
    <row r="2" spans="1:11" ht="17" thickBot="1" x14ac:dyDescent="0.25">
      <c r="A2">
        <v>10</v>
      </c>
      <c r="B2">
        <f>F$2</f>
        <v>20800</v>
      </c>
      <c r="C2" s="5">
        <f t="shared" ref="C2:C33" si="0">IF(A2&lt;14,0,B2/30*(A2-14))</f>
        <v>0</v>
      </c>
      <c r="D2" s="5">
        <f>IF(A2&gt;13, B2+C2, 0)</f>
        <v>0</v>
      </c>
      <c r="F2" s="63">
        <f>'Vstupní hodnoty'!A17</f>
        <v>20800</v>
      </c>
      <c r="H2" s="147" t="s">
        <v>107</v>
      </c>
      <c r="I2" s="148"/>
      <c r="J2" s="148"/>
      <c r="K2" s="149"/>
    </row>
    <row r="3" spans="1:11" x14ac:dyDescent="0.2">
      <c r="A3">
        <v>11</v>
      </c>
      <c r="B3">
        <f t="shared" ref="B3:B66" si="1">F$2</f>
        <v>20800</v>
      </c>
      <c r="C3" s="5">
        <f t="shared" si="0"/>
        <v>0</v>
      </c>
      <c r="D3" s="5">
        <f>IF(A3&gt;13, B3+C3, 0)</f>
        <v>0</v>
      </c>
      <c r="H3" s="150"/>
      <c r="I3" s="151"/>
      <c r="J3" s="151"/>
      <c r="K3" s="152"/>
    </row>
    <row r="4" spans="1:11" x14ac:dyDescent="0.2">
      <c r="A4">
        <v>12</v>
      </c>
      <c r="B4">
        <f t="shared" si="1"/>
        <v>20800</v>
      </c>
      <c r="C4" s="5">
        <f t="shared" si="0"/>
        <v>0</v>
      </c>
      <c r="D4" s="5">
        <f>IF(A4&gt;13, B4+C4, 0)</f>
        <v>0</v>
      </c>
      <c r="H4" s="150"/>
      <c r="I4" s="151"/>
      <c r="J4" s="151"/>
      <c r="K4" s="152"/>
    </row>
    <row r="5" spans="1:11" x14ac:dyDescent="0.2">
      <c r="A5">
        <v>13</v>
      </c>
      <c r="B5">
        <f t="shared" si="1"/>
        <v>20800</v>
      </c>
      <c r="C5" s="5">
        <f t="shared" si="0"/>
        <v>0</v>
      </c>
      <c r="D5" s="5">
        <f>IF(A5&gt;13, B5+C5, 0)</f>
        <v>0</v>
      </c>
      <c r="H5" s="150"/>
      <c r="I5" s="151"/>
      <c r="J5" s="151"/>
      <c r="K5" s="152"/>
    </row>
    <row r="6" spans="1:11" x14ac:dyDescent="0.2">
      <c r="A6">
        <v>14</v>
      </c>
      <c r="B6">
        <f t="shared" si="1"/>
        <v>20800</v>
      </c>
      <c r="C6" s="5">
        <f t="shared" si="0"/>
        <v>0</v>
      </c>
      <c r="D6" s="5">
        <f t="shared" ref="D6:D37" si="2">IF(A6&gt;13, B6/(30/A6)+C6, 0)</f>
        <v>9706.6666666666661</v>
      </c>
      <c r="H6" s="150"/>
      <c r="I6" s="151"/>
      <c r="J6" s="151"/>
      <c r="K6" s="152"/>
    </row>
    <row r="7" spans="1:11" x14ac:dyDescent="0.2">
      <c r="A7">
        <v>15</v>
      </c>
      <c r="B7">
        <f t="shared" si="1"/>
        <v>20800</v>
      </c>
      <c r="C7" s="5">
        <f t="shared" si="0"/>
        <v>693.33333333333337</v>
      </c>
      <c r="D7" s="5">
        <f t="shared" si="2"/>
        <v>11093.333333333334</v>
      </c>
      <c r="H7" s="150"/>
      <c r="I7" s="151"/>
      <c r="J7" s="151"/>
      <c r="K7" s="152"/>
    </row>
    <row r="8" spans="1:11" x14ac:dyDescent="0.2">
      <c r="A8">
        <v>16</v>
      </c>
      <c r="B8">
        <f t="shared" si="1"/>
        <v>20800</v>
      </c>
      <c r="C8" s="5">
        <f t="shared" si="0"/>
        <v>1386.6666666666667</v>
      </c>
      <c r="D8" s="5">
        <f t="shared" si="2"/>
        <v>12480</v>
      </c>
      <c r="H8" s="150"/>
      <c r="I8" s="151"/>
      <c r="J8" s="151"/>
      <c r="K8" s="152"/>
    </row>
    <row r="9" spans="1:11" ht="17" thickBot="1" x14ac:dyDescent="0.25">
      <c r="A9">
        <v>17</v>
      </c>
      <c r="B9">
        <f t="shared" si="1"/>
        <v>20800</v>
      </c>
      <c r="C9" s="5">
        <f t="shared" si="0"/>
        <v>2080</v>
      </c>
      <c r="D9" s="5">
        <f t="shared" si="2"/>
        <v>13866.666666666668</v>
      </c>
      <c r="H9" s="153"/>
      <c r="I9" s="154"/>
      <c r="J9" s="154"/>
      <c r="K9" s="155"/>
    </row>
    <row r="10" spans="1:11" x14ac:dyDescent="0.2">
      <c r="A10">
        <v>18</v>
      </c>
      <c r="B10">
        <f>F$2</f>
        <v>20800</v>
      </c>
      <c r="C10" s="5">
        <f t="shared" si="0"/>
        <v>2773.3333333333335</v>
      </c>
      <c r="D10" s="5">
        <f t="shared" si="2"/>
        <v>15253.333333333334</v>
      </c>
    </row>
    <row r="11" spans="1:11" x14ac:dyDescent="0.2">
      <c r="A11">
        <v>19</v>
      </c>
      <c r="B11">
        <f t="shared" si="1"/>
        <v>20800</v>
      </c>
      <c r="C11" s="5">
        <f t="shared" si="0"/>
        <v>3466.666666666667</v>
      </c>
      <c r="D11" s="5">
        <f t="shared" si="2"/>
        <v>16640</v>
      </c>
    </row>
    <row r="12" spans="1:11" x14ac:dyDescent="0.2">
      <c r="A12">
        <v>20</v>
      </c>
      <c r="B12">
        <f t="shared" si="1"/>
        <v>20800</v>
      </c>
      <c r="C12" s="5">
        <f t="shared" si="0"/>
        <v>4160</v>
      </c>
      <c r="D12" s="5">
        <f t="shared" si="2"/>
        <v>18026.666666666664</v>
      </c>
    </row>
    <row r="13" spans="1:11" x14ac:dyDescent="0.2">
      <c r="A13">
        <v>21</v>
      </c>
      <c r="B13">
        <f t="shared" si="1"/>
        <v>20800</v>
      </c>
      <c r="C13" s="5">
        <f t="shared" si="0"/>
        <v>4853.3333333333339</v>
      </c>
      <c r="D13" s="5">
        <f t="shared" si="2"/>
        <v>19413.333333333336</v>
      </c>
    </row>
    <row r="14" spans="1:11" x14ac:dyDescent="0.2">
      <c r="A14">
        <v>22</v>
      </c>
      <c r="B14">
        <f t="shared" si="1"/>
        <v>20800</v>
      </c>
      <c r="C14" s="5">
        <f t="shared" si="0"/>
        <v>5546.666666666667</v>
      </c>
      <c r="D14" s="5">
        <f t="shared" si="2"/>
        <v>20800</v>
      </c>
    </row>
    <row r="15" spans="1:11" x14ac:dyDescent="0.2">
      <c r="A15">
        <v>23</v>
      </c>
      <c r="B15">
        <f t="shared" si="1"/>
        <v>20800</v>
      </c>
      <c r="C15" s="5">
        <f t="shared" si="0"/>
        <v>6240</v>
      </c>
      <c r="D15" s="5">
        <f t="shared" si="2"/>
        <v>22186.666666666664</v>
      </c>
    </row>
    <row r="16" spans="1:11" x14ac:dyDescent="0.2">
      <c r="A16">
        <v>24</v>
      </c>
      <c r="B16">
        <f t="shared" si="1"/>
        <v>20800</v>
      </c>
      <c r="C16" s="5">
        <f t="shared" si="0"/>
        <v>6933.3333333333339</v>
      </c>
      <c r="D16" s="5">
        <f t="shared" si="2"/>
        <v>23573.333333333336</v>
      </c>
    </row>
    <row r="17" spans="1:4" x14ac:dyDescent="0.2">
      <c r="A17">
        <v>25</v>
      </c>
      <c r="B17">
        <f t="shared" si="1"/>
        <v>20800</v>
      </c>
      <c r="C17" s="5">
        <f t="shared" si="0"/>
        <v>7626.666666666667</v>
      </c>
      <c r="D17" s="5">
        <f t="shared" si="2"/>
        <v>24960.000000000004</v>
      </c>
    </row>
    <row r="18" spans="1:4" x14ac:dyDescent="0.2">
      <c r="A18">
        <v>26</v>
      </c>
      <c r="B18">
        <f t="shared" si="1"/>
        <v>20800</v>
      </c>
      <c r="C18" s="5">
        <f t="shared" si="0"/>
        <v>8320</v>
      </c>
      <c r="D18" s="5">
        <f t="shared" si="2"/>
        <v>26346.666666666668</v>
      </c>
    </row>
    <row r="19" spans="1:4" x14ac:dyDescent="0.2">
      <c r="A19">
        <v>27</v>
      </c>
      <c r="B19">
        <f t="shared" si="1"/>
        <v>20800</v>
      </c>
      <c r="C19" s="5">
        <f t="shared" si="0"/>
        <v>9013.3333333333339</v>
      </c>
      <c r="D19" s="5">
        <f t="shared" si="2"/>
        <v>27733.333333333336</v>
      </c>
    </row>
    <row r="20" spans="1:4" x14ac:dyDescent="0.2">
      <c r="A20">
        <v>28</v>
      </c>
      <c r="B20">
        <f t="shared" si="1"/>
        <v>20800</v>
      </c>
      <c r="C20" s="5">
        <f t="shared" si="0"/>
        <v>9706.6666666666679</v>
      </c>
      <c r="D20" s="5">
        <f t="shared" si="2"/>
        <v>29120</v>
      </c>
    </row>
    <row r="21" spans="1:4" x14ac:dyDescent="0.2">
      <c r="A21">
        <v>29</v>
      </c>
      <c r="B21">
        <f t="shared" si="1"/>
        <v>20800</v>
      </c>
      <c r="C21" s="5">
        <f t="shared" si="0"/>
        <v>10400</v>
      </c>
      <c r="D21" s="5">
        <f t="shared" si="2"/>
        <v>30506.666666666664</v>
      </c>
    </row>
    <row r="22" spans="1:4" x14ac:dyDescent="0.2">
      <c r="A22">
        <v>30</v>
      </c>
      <c r="B22">
        <f t="shared" si="1"/>
        <v>20800</v>
      </c>
      <c r="C22" s="5">
        <f t="shared" si="0"/>
        <v>11093.333333333334</v>
      </c>
      <c r="D22" s="5">
        <f t="shared" si="2"/>
        <v>31893.333333333336</v>
      </c>
    </row>
    <row r="23" spans="1:4" x14ac:dyDescent="0.2">
      <c r="A23">
        <v>31</v>
      </c>
      <c r="B23">
        <f t="shared" si="1"/>
        <v>20800</v>
      </c>
      <c r="C23" s="5">
        <f t="shared" si="0"/>
        <v>11786.666666666668</v>
      </c>
      <c r="D23" s="5">
        <f t="shared" si="2"/>
        <v>33280</v>
      </c>
    </row>
    <row r="24" spans="1:4" x14ac:dyDescent="0.2">
      <c r="A24">
        <v>32</v>
      </c>
      <c r="B24">
        <f t="shared" si="1"/>
        <v>20800</v>
      </c>
      <c r="C24" s="5">
        <f t="shared" si="0"/>
        <v>12480</v>
      </c>
      <c r="D24" s="5">
        <f t="shared" si="2"/>
        <v>34666.666666666672</v>
      </c>
    </row>
    <row r="25" spans="1:4" x14ac:dyDescent="0.2">
      <c r="A25">
        <v>33</v>
      </c>
      <c r="B25">
        <f t="shared" si="1"/>
        <v>20800</v>
      </c>
      <c r="C25" s="5">
        <f t="shared" si="0"/>
        <v>13173.333333333334</v>
      </c>
      <c r="D25" s="5">
        <f t="shared" si="2"/>
        <v>36053.333333333336</v>
      </c>
    </row>
    <row r="26" spans="1:4" x14ac:dyDescent="0.2">
      <c r="A26">
        <v>34</v>
      </c>
      <c r="B26">
        <f t="shared" si="1"/>
        <v>20800</v>
      </c>
      <c r="C26" s="5">
        <f t="shared" si="0"/>
        <v>13866.666666666668</v>
      </c>
      <c r="D26" s="5">
        <f t="shared" si="2"/>
        <v>37440</v>
      </c>
    </row>
    <row r="27" spans="1:4" x14ac:dyDescent="0.2">
      <c r="A27">
        <v>35</v>
      </c>
      <c r="B27">
        <f t="shared" si="1"/>
        <v>20800</v>
      </c>
      <c r="C27" s="5">
        <f t="shared" si="0"/>
        <v>14560</v>
      </c>
      <c r="D27" s="5">
        <f t="shared" si="2"/>
        <v>38826.666666666672</v>
      </c>
    </row>
    <row r="28" spans="1:4" x14ac:dyDescent="0.2">
      <c r="A28">
        <v>36</v>
      </c>
      <c r="B28">
        <f t="shared" si="1"/>
        <v>20800</v>
      </c>
      <c r="C28" s="5">
        <f t="shared" si="0"/>
        <v>15253.333333333334</v>
      </c>
      <c r="D28" s="5">
        <f t="shared" si="2"/>
        <v>40213.333333333336</v>
      </c>
    </row>
    <row r="29" spans="1:4" x14ac:dyDescent="0.2">
      <c r="A29">
        <v>37</v>
      </c>
      <c r="B29">
        <f t="shared" si="1"/>
        <v>20800</v>
      </c>
      <c r="C29" s="5">
        <f t="shared" si="0"/>
        <v>15946.666666666668</v>
      </c>
      <c r="D29" s="5">
        <f t="shared" si="2"/>
        <v>41600</v>
      </c>
    </row>
    <row r="30" spans="1:4" x14ac:dyDescent="0.2">
      <c r="A30">
        <v>38</v>
      </c>
      <c r="B30">
        <f t="shared" si="1"/>
        <v>20800</v>
      </c>
      <c r="C30" s="5">
        <f t="shared" si="0"/>
        <v>16640</v>
      </c>
      <c r="D30" s="5">
        <f t="shared" si="2"/>
        <v>42986.666666666672</v>
      </c>
    </row>
    <row r="31" spans="1:4" x14ac:dyDescent="0.2">
      <c r="A31">
        <v>39</v>
      </c>
      <c r="B31">
        <f t="shared" si="1"/>
        <v>20800</v>
      </c>
      <c r="C31" s="5">
        <f t="shared" si="0"/>
        <v>17333.333333333336</v>
      </c>
      <c r="D31" s="5">
        <f t="shared" si="2"/>
        <v>44373.333333333336</v>
      </c>
    </row>
    <row r="32" spans="1:4" x14ac:dyDescent="0.2">
      <c r="A32">
        <v>40</v>
      </c>
      <c r="B32">
        <f t="shared" si="1"/>
        <v>20800</v>
      </c>
      <c r="C32" s="5">
        <f t="shared" si="0"/>
        <v>18026.666666666668</v>
      </c>
      <c r="D32" s="5">
        <f t="shared" si="2"/>
        <v>45760</v>
      </c>
    </row>
    <row r="33" spans="1:4" x14ac:dyDescent="0.2">
      <c r="A33">
        <v>41</v>
      </c>
      <c r="B33">
        <f t="shared" si="1"/>
        <v>20800</v>
      </c>
      <c r="C33" s="5">
        <f t="shared" si="0"/>
        <v>18720</v>
      </c>
      <c r="D33" s="5">
        <f t="shared" si="2"/>
        <v>47146.666666666672</v>
      </c>
    </row>
    <row r="34" spans="1:4" x14ac:dyDescent="0.2">
      <c r="A34">
        <v>42</v>
      </c>
      <c r="B34">
        <f t="shared" si="1"/>
        <v>20800</v>
      </c>
      <c r="C34" s="5">
        <f t="shared" ref="C34:C65" si="3">IF(A34&lt;14,0,B34/30*(A34-14))</f>
        <v>19413.333333333336</v>
      </c>
      <c r="D34" s="5">
        <f t="shared" si="2"/>
        <v>48533.333333333336</v>
      </c>
    </row>
    <row r="35" spans="1:4" x14ac:dyDescent="0.2">
      <c r="A35">
        <v>43</v>
      </c>
      <c r="B35">
        <f t="shared" si="1"/>
        <v>20800</v>
      </c>
      <c r="C35" s="5">
        <f t="shared" si="3"/>
        <v>20106.666666666668</v>
      </c>
      <c r="D35" s="5">
        <f t="shared" si="2"/>
        <v>49920</v>
      </c>
    </row>
    <row r="36" spans="1:4" x14ac:dyDescent="0.2">
      <c r="A36">
        <v>44</v>
      </c>
      <c r="B36">
        <f t="shared" si="1"/>
        <v>20800</v>
      </c>
      <c r="C36" s="5">
        <f t="shared" si="3"/>
        <v>20800</v>
      </c>
      <c r="D36" s="5">
        <f t="shared" si="2"/>
        <v>51306.666666666672</v>
      </c>
    </row>
    <row r="37" spans="1:4" x14ac:dyDescent="0.2">
      <c r="A37">
        <v>45</v>
      </c>
      <c r="B37">
        <f t="shared" si="1"/>
        <v>20800</v>
      </c>
      <c r="C37" s="5">
        <f t="shared" si="3"/>
        <v>21493.333333333336</v>
      </c>
      <c r="D37" s="5">
        <f t="shared" si="2"/>
        <v>52693.333333333336</v>
      </c>
    </row>
    <row r="38" spans="1:4" x14ac:dyDescent="0.2">
      <c r="A38">
        <v>46</v>
      </c>
      <c r="B38">
        <f t="shared" si="1"/>
        <v>20800</v>
      </c>
      <c r="C38" s="5">
        <f t="shared" si="3"/>
        <v>22186.666666666668</v>
      </c>
      <c r="D38" s="5">
        <f t="shared" ref="D38:D69" si="4">IF(A38&gt;13, B38/(30/A38)+C38, 0)</f>
        <v>54080</v>
      </c>
    </row>
    <row r="39" spans="1:4" x14ac:dyDescent="0.2">
      <c r="A39">
        <v>47</v>
      </c>
      <c r="B39">
        <f t="shared" si="1"/>
        <v>20800</v>
      </c>
      <c r="C39" s="5">
        <f t="shared" si="3"/>
        <v>22880</v>
      </c>
      <c r="D39" s="5">
        <f t="shared" si="4"/>
        <v>55466.666666666664</v>
      </c>
    </row>
    <row r="40" spans="1:4" x14ac:dyDescent="0.2">
      <c r="A40">
        <v>48</v>
      </c>
      <c r="B40">
        <f t="shared" si="1"/>
        <v>20800</v>
      </c>
      <c r="C40" s="5">
        <f t="shared" si="3"/>
        <v>23573.333333333336</v>
      </c>
      <c r="D40" s="5">
        <f t="shared" si="4"/>
        <v>56853.333333333336</v>
      </c>
    </row>
    <row r="41" spans="1:4" x14ac:dyDescent="0.2">
      <c r="A41">
        <v>49</v>
      </c>
      <c r="B41">
        <f t="shared" si="1"/>
        <v>20800</v>
      </c>
      <c r="C41" s="5">
        <f t="shared" si="3"/>
        <v>24266.666666666668</v>
      </c>
      <c r="D41" s="5">
        <f t="shared" si="4"/>
        <v>58240</v>
      </c>
    </row>
    <row r="42" spans="1:4" x14ac:dyDescent="0.2">
      <c r="A42">
        <v>50</v>
      </c>
      <c r="B42">
        <f t="shared" si="1"/>
        <v>20800</v>
      </c>
      <c r="C42" s="5">
        <f t="shared" si="3"/>
        <v>24960</v>
      </c>
      <c r="D42" s="5">
        <f t="shared" si="4"/>
        <v>59626.666666666672</v>
      </c>
    </row>
    <row r="43" spans="1:4" x14ac:dyDescent="0.2">
      <c r="A43">
        <v>51</v>
      </c>
      <c r="B43">
        <f t="shared" si="1"/>
        <v>20800</v>
      </c>
      <c r="C43" s="5">
        <f t="shared" si="3"/>
        <v>25653.333333333336</v>
      </c>
      <c r="D43" s="5">
        <f t="shared" si="4"/>
        <v>61013.333333333336</v>
      </c>
    </row>
    <row r="44" spans="1:4" x14ac:dyDescent="0.2">
      <c r="A44">
        <v>52</v>
      </c>
      <c r="B44">
        <f t="shared" si="1"/>
        <v>20800</v>
      </c>
      <c r="C44" s="5">
        <f t="shared" si="3"/>
        <v>26346.666666666668</v>
      </c>
      <c r="D44" s="5">
        <f t="shared" si="4"/>
        <v>62400</v>
      </c>
    </row>
    <row r="45" spans="1:4" x14ac:dyDescent="0.2">
      <c r="A45">
        <v>53</v>
      </c>
      <c r="B45">
        <f t="shared" si="1"/>
        <v>20800</v>
      </c>
      <c r="C45" s="5">
        <f t="shared" si="3"/>
        <v>27040</v>
      </c>
      <c r="D45" s="5">
        <f t="shared" si="4"/>
        <v>63786.666666666664</v>
      </c>
    </row>
    <row r="46" spans="1:4" x14ac:dyDescent="0.2">
      <c r="A46">
        <v>54</v>
      </c>
      <c r="B46">
        <f t="shared" si="1"/>
        <v>20800</v>
      </c>
      <c r="C46" s="5">
        <f t="shared" si="3"/>
        <v>27733.333333333336</v>
      </c>
      <c r="D46" s="5">
        <f t="shared" si="4"/>
        <v>65173.333333333336</v>
      </c>
    </row>
    <row r="47" spans="1:4" x14ac:dyDescent="0.2">
      <c r="A47">
        <v>55</v>
      </c>
      <c r="B47">
        <f t="shared" si="1"/>
        <v>20800</v>
      </c>
      <c r="C47" s="5">
        <f t="shared" si="3"/>
        <v>28426.666666666668</v>
      </c>
      <c r="D47" s="5">
        <f t="shared" si="4"/>
        <v>66560</v>
      </c>
    </row>
    <row r="48" spans="1:4" x14ac:dyDescent="0.2">
      <c r="A48">
        <v>56</v>
      </c>
      <c r="B48">
        <f t="shared" si="1"/>
        <v>20800</v>
      </c>
      <c r="C48" s="5">
        <f t="shared" si="3"/>
        <v>29120</v>
      </c>
      <c r="D48" s="5">
        <f t="shared" si="4"/>
        <v>67946.666666666657</v>
      </c>
    </row>
    <row r="49" spans="1:4" x14ac:dyDescent="0.2">
      <c r="A49">
        <v>57</v>
      </c>
      <c r="B49">
        <f t="shared" si="1"/>
        <v>20800</v>
      </c>
      <c r="C49" s="5">
        <f t="shared" si="3"/>
        <v>29813.333333333336</v>
      </c>
      <c r="D49" s="5">
        <f t="shared" si="4"/>
        <v>69333.333333333343</v>
      </c>
    </row>
    <row r="50" spans="1:4" x14ac:dyDescent="0.2">
      <c r="A50">
        <v>58</v>
      </c>
      <c r="B50">
        <f t="shared" si="1"/>
        <v>20800</v>
      </c>
      <c r="C50" s="5">
        <f t="shared" si="3"/>
        <v>30506.666666666668</v>
      </c>
      <c r="D50" s="5">
        <f t="shared" si="4"/>
        <v>70720</v>
      </c>
    </row>
    <row r="51" spans="1:4" x14ac:dyDescent="0.2">
      <c r="A51">
        <v>59</v>
      </c>
      <c r="B51">
        <f t="shared" si="1"/>
        <v>20800</v>
      </c>
      <c r="C51" s="5">
        <f t="shared" si="3"/>
        <v>31200</v>
      </c>
      <c r="D51" s="5">
        <f t="shared" si="4"/>
        <v>72106.666666666672</v>
      </c>
    </row>
    <row r="52" spans="1:4" x14ac:dyDescent="0.2">
      <c r="A52">
        <v>60</v>
      </c>
      <c r="B52">
        <f t="shared" si="1"/>
        <v>20800</v>
      </c>
      <c r="C52" s="5">
        <f t="shared" si="3"/>
        <v>31893.333333333336</v>
      </c>
      <c r="D52" s="5">
        <f t="shared" si="4"/>
        <v>73493.333333333343</v>
      </c>
    </row>
    <row r="53" spans="1:4" x14ac:dyDescent="0.2">
      <c r="A53">
        <v>61</v>
      </c>
      <c r="B53">
        <f t="shared" si="1"/>
        <v>20800</v>
      </c>
      <c r="C53" s="5">
        <f t="shared" si="3"/>
        <v>32586.666666666668</v>
      </c>
      <c r="D53" s="5">
        <f t="shared" si="4"/>
        <v>74880</v>
      </c>
    </row>
    <row r="54" spans="1:4" x14ac:dyDescent="0.2">
      <c r="A54">
        <v>62</v>
      </c>
      <c r="B54">
        <f t="shared" si="1"/>
        <v>20800</v>
      </c>
      <c r="C54" s="5">
        <f t="shared" si="3"/>
        <v>33280</v>
      </c>
      <c r="D54" s="5">
        <f t="shared" si="4"/>
        <v>76266.666666666657</v>
      </c>
    </row>
    <row r="55" spans="1:4" x14ac:dyDescent="0.2">
      <c r="A55">
        <v>63</v>
      </c>
      <c r="B55">
        <f t="shared" si="1"/>
        <v>20800</v>
      </c>
      <c r="C55" s="5">
        <f t="shared" si="3"/>
        <v>33973.333333333336</v>
      </c>
      <c r="D55" s="5">
        <f t="shared" si="4"/>
        <v>77653.333333333343</v>
      </c>
    </row>
    <row r="56" spans="1:4" x14ac:dyDescent="0.2">
      <c r="A56">
        <v>64</v>
      </c>
      <c r="B56">
        <f t="shared" si="1"/>
        <v>20800</v>
      </c>
      <c r="C56" s="5">
        <f t="shared" si="3"/>
        <v>34666.666666666672</v>
      </c>
      <c r="D56" s="5">
        <f t="shared" si="4"/>
        <v>79040</v>
      </c>
    </row>
    <row r="57" spans="1:4" x14ac:dyDescent="0.2">
      <c r="A57">
        <v>65</v>
      </c>
      <c r="B57">
        <f t="shared" si="1"/>
        <v>20800</v>
      </c>
      <c r="C57" s="5">
        <f t="shared" si="3"/>
        <v>35360</v>
      </c>
      <c r="D57" s="5">
        <f t="shared" si="4"/>
        <v>80426.666666666657</v>
      </c>
    </row>
    <row r="58" spans="1:4" x14ac:dyDescent="0.2">
      <c r="A58">
        <v>66</v>
      </c>
      <c r="B58">
        <f t="shared" si="1"/>
        <v>20800</v>
      </c>
      <c r="C58" s="5">
        <f t="shared" si="3"/>
        <v>36053.333333333336</v>
      </c>
      <c r="D58" s="5">
        <f t="shared" si="4"/>
        <v>81813.333333333343</v>
      </c>
    </row>
    <row r="59" spans="1:4" x14ac:dyDescent="0.2">
      <c r="A59">
        <v>67</v>
      </c>
      <c r="B59">
        <f t="shared" si="1"/>
        <v>20800</v>
      </c>
      <c r="C59" s="5">
        <f t="shared" si="3"/>
        <v>36746.666666666672</v>
      </c>
      <c r="D59" s="5">
        <f t="shared" si="4"/>
        <v>83200</v>
      </c>
    </row>
    <row r="60" spans="1:4" x14ac:dyDescent="0.2">
      <c r="A60">
        <v>68</v>
      </c>
      <c r="B60">
        <f t="shared" si="1"/>
        <v>20800</v>
      </c>
      <c r="C60" s="5">
        <f t="shared" si="3"/>
        <v>37440</v>
      </c>
      <c r="D60" s="5">
        <f t="shared" si="4"/>
        <v>84586.666666666672</v>
      </c>
    </row>
    <row r="61" spans="1:4" x14ac:dyDescent="0.2">
      <c r="A61">
        <v>69</v>
      </c>
      <c r="B61">
        <f t="shared" si="1"/>
        <v>20800</v>
      </c>
      <c r="C61" s="5">
        <f t="shared" si="3"/>
        <v>38133.333333333336</v>
      </c>
      <c r="D61" s="5">
        <f t="shared" si="4"/>
        <v>85973.333333333343</v>
      </c>
    </row>
    <row r="62" spans="1:4" x14ac:dyDescent="0.2">
      <c r="A62">
        <v>70</v>
      </c>
      <c r="B62">
        <f t="shared" si="1"/>
        <v>20800</v>
      </c>
      <c r="C62" s="5">
        <f t="shared" si="3"/>
        <v>38826.666666666672</v>
      </c>
      <c r="D62" s="5">
        <f t="shared" si="4"/>
        <v>87360</v>
      </c>
    </row>
    <row r="63" spans="1:4" x14ac:dyDescent="0.2">
      <c r="A63">
        <v>71</v>
      </c>
      <c r="B63">
        <f t="shared" si="1"/>
        <v>20800</v>
      </c>
      <c r="C63" s="5">
        <f t="shared" si="3"/>
        <v>39520</v>
      </c>
      <c r="D63" s="5">
        <f t="shared" si="4"/>
        <v>88746.666666666657</v>
      </c>
    </row>
    <row r="64" spans="1:4" x14ac:dyDescent="0.2">
      <c r="A64">
        <v>72</v>
      </c>
      <c r="B64">
        <f t="shared" si="1"/>
        <v>20800</v>
      </c>
      <c r="C64" s="5">
        <f t="shared" si="3"/>
        <v>40213.333333333336</v>
      </c>
      <c r="D64" s="5">
        <f t="shared" si="4"/>
        <v>90133.333333333343</v>
      </c>
    </row>
    <row r="65" spans="1:4" x14ac:dyDescent="0.2">
      <c r="A65">
        <v>73</v>
      </c>
      <c r="B65">
        <f t="shared" si="1"/>
        <v>20800</v>
      </c>
      <c r="C65" s="5">
        <f t="shared" si="3"/>
        <v>40906.666666666672</v>
      </c>
      <c r="D65" s="5">
        <f t="shared" si="4"/>
        <v>91520</v>
      </c>
    </row>
    <row r="66" spans="1:4" x14ac:dyDescent="0.2">
      <c r="A66">
        <v>74</v>
      </c>
      <c r="B66">
        <f t="shared" si="1"/>
        <v>20800</v>
      </c>
      <c r="C66" s="5">
        <f t="shared" ref="C66:C76" si="5">IF(A66&lt;14,0,B66/30*(A66-14))</f>
        <v>41600</v>
      </c>
      <c r="D66" s="5">
        <f t="shared" si="4"/>
        <v>92906.666666666657</v>
      </c>
    </row>
    <row r="67" spans="1:4" x14ac:dyDescent="0.2">
      <c r="A67">
        <v>75</v>
      </c>
      <c r="B67">
        <f t="shared" ref="B67:B76" si="6">F$2</f>
        <v>20800</v>
      </c>
      <c r="C67" s="5">
        <f t="shared" si="5"/>
        <v>42293.333333333336</v>
      </c>
      <c r="D67" s="5">
        <f t="shared" si="4"/>
        <v>94293.333333333343</v>
      </c>
    </row>
    <row r="68" spans="1:4" x14ac:dyDescent="0.2">
      <c r="A68">
        <v>76</v>
      </c>
      <c r="B68">
        <f t="shared" si="6"/>
        <v>20800</v>
      </c>
      <c r="C68" s="5">
        <f t="shared" si="5"/>
        <v>42986.666666666672</v>
      </c>
      <c r="D68" s="5">
        <f t="shared" si="4"/>
        <v>95680</v>
      </c>
    </row>
    <row r="69" spans="1:4" x14ac:dyDescent="0.2">
      <c r="A69">
        <v>77</v>
      </c>
      <c r="B69">
        <f t="shared" si="6"/>
        <v>20800</v>
      </c>
      <c r="C69" s="5">
        <f t="shared" si="5"/>
        <v>43680</v>
      </c>
      <c r="D69" s="5">
        <f t="shared" si="4"/>
        <v>97066.666666666657</v>
      </c>
    </row>
    <row r="70" spans="1:4" x14ac:dyDescent="0.2">
      <c r="A70">
        <v>78</v>
      </c>
      <c r="B70">
        <f t="shared" si="6"/>
        <v>20800</v>
      </c>
      <c r="C70" s="5">
        <f t="shared" si="5"/>
        <v>44373.333333333336</v>
      </c>
      <c r="D70" s="5">
        <f t="shared" ref="D70:D76" si="7">IF(A70&gt;13, B70/(30/A70)+C70, 0)</f>
        <v>98453.333333333343</v>
      </c>
    </row>
    <row r="71" spans="1:4" x14ac:dyDescent="0.2">
      <c r="A71">
        <v>79</v>
      </c>
      <c r="B71">
        <f t="shared" si="6"/>
        <v>20800</v>
      </c>
      <c r="C71" s="5">
        <f t="shared" si="5"/>
        <v>45066.666666666672</v>
      </c>
      <c r="D71" s="5">
        <f t="shared" si="7"/>
        <v>99840</v>
      </c>
    </row>
    <row r="72" spans="1:4" x14ac:dyDescent="0.2">
      <c r="A72">
        <v>80</v>
      </c>
      <c r="B72">
        <f t="shared" si="6"/>
        <v>20800</v>
      </c>
      <c r="C72" s="5">
        <f t="shared" si="5"/>
        <v>45760</v>
      </c>
      <c r="D72" s="5">
        <f t="shared" si="7"/>
        <v>101226.66666666666</v>
      </c>
    </row>
    <row r="73" spans="1:4" x14ac:dyDescent="0.2">
      <c r="A73">
        <v>81</v>
      </c>
      <c r="B73">
        <f t="shared" si="6"/>
        <v>20800</v>
      </c>
      <c r="C73" s="5">
        <f t="shared" si="5"/>
        <v>46453.333333333336</v>
      </c>
      <c r="D73" s="5">
        <f t="shared" si="7"/>
        <v>102613.33333333334</v>
      </c>
    </row>
    <row r="74" spans="1:4" x14ac:dyDescent="0.2">
      <c r="A74">
        <v>82</v>
      </c>
      <c r="B74">
        <f t="shared" si="6"/>
        <v>20800</v>
      </c>
      <c r="C74" s="5">
        <f t="shared" si="5"/>
        <v>47146.666666666672</v>
      </c>
      <c r="D74" s="5">
        <f t="shared" si="7"/>
        <v>104000</v>
      </c>
    </row>
    <row r="75" spans="1:4" x14ac:dyDescent="0.2">
      <c r="A75">
        <v>83</v>
      </c>
      <c r="B75">
        <f t="shared" si="6"/>
        <v>20800</v>
      </c>
      <c r="C75" s="5">
        <f t="shared" si="5"/>
        <v>47840</v>
      </c>
      <c r="D75" s="5">
        <f t="shared" si="7"/>
        <v>105386.66666666666</v>
      </c>
    </row>
    <row r="76" spans="1:4" x14ac:dyDescent="0.2">
      <c r="A76">
        <v>84</v>
      </c>
      <c r="B76">
        <f t="shared" si="6"/>
        <v>20800</v>
      </c>
      <c r="C76" s="5">
        <f t="shared" si="5"/>
        <v>48533.333333333336</v>
      </c>
      <c r="D76" s="5">
        <f t="shared" si="7"/>
        <v>106773.33333333334</v>
      </c>
    </row>
  </sheetData>
  <mergeCells count="2">
    <mergeCell ref="H2:K9"/>
    <mergeCell ref="H1:K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186E-3338-DD4E-A3E7-3BC08418DCB2}">
  <dimension ref="B1:AB106"/>
  <sheetViews>
    <sheetView workbookViewId="0">
      <selection activeCell="K15" sqref="K15"/>
    </sheetView>
  </sheetViews>
  <sheetFormatPr baseColWidth="10" defaultRowHeight="16" x14ac:dyDescent="0.2"/>
  <cols>
    <col min="2" max="2" width="7" bestFit="1" customWidth="1"/>
    <col min="3" max="9" width="10.83203125" customWidth="1"/>
    <col min="12" max="12" width="9.83203125" customWidth="1"/>
    <col min="13" max="14" width="12.1640625" bestFit="1" customWidth="1"/>
    <col min="15" max="17" width="12.33203125" bestFit="1" customWidth="1"/>
  </cols>
  <sheetData>
    <row r="1" spans="2:28" ht="17" thickBot="1" x14ac:dyDescent="0.25">
      <c r="B1" s="3" t="s">
        <v>80</v>
      </c>
      <c r="K1" s="109" t="s">
        <v>110</v>
      </c>
      <c r="L1" s="108"/>
      <c r="M1" s="108"/>
    </row>
    <row r="2" spans="2:28" ht="35" thickBot="1" x14ac:dyDescent="0.25">
      <c r="B2" s="51" t="s">
        <v>62</v>
      </c>
      <c r="C2" s="52" t="s">
        <v>93</v>
      </c>
      <c r="D2" s="52" t="s">
        <v>67</v>
      </c>
      <c r="E2" s="52" t="s">
        <v>68</v>
      </c>
      <c r="F2" s="52" t="s">
        <v>111</v>
      </c>
      <c r="G2" s="52" t="s">
        <v>112</v>
      </c>
      <c r="H2" s="52" t="s">
        <v>69</v>
      </c>
      <c r="I2" s="53" t="s">
        <v>70</v>
      </c>
      <c r="K2" s="96" t="s">
        <v>108</v>
      </c>
      <c r="L2" s="96" t="s">
        <v>98</v>
      </c>
      <c r="M2" s="96" t="s">
        <v>106</v>
      </c>
    </row>
    <row r="3" spans="2:28" ht="17" thickTop="1" x14ac:dyDescent="0.2">
      <c r="B3" s="166" t="s">
        <v>58</v>
      </c>
      <c r="C3" t="s">
        <v>43</v>
      </c>
      <c r="D3" s="32">
        <v>5</v>
      </c>
      <c r="E3" s="30">
        <f>SUM($E$96,$G$96)/1000000</f>
        <v>0.86699999999999999</v>
      </c>
      <c r="F3" s="30">
        <f>SUM($F$96,$H$96)/1000000</f>
        <v>1.0529999999999999</v>
      </c>
      <c r="G3" s="30">
        <f>SUM(F$96,I$96)/1000000</f>
        <v>1.0529999999999999</v>
      </c>
      <c r="H3" s="26">
        <f t="shared" ref="H3:H8" si="0">(F3/E3-1)*100</f>
        <v>21.45328719723183</v>
      </c>
      <c r="I3" s="27">
        <f t="shared" ref="I3:I8" si="1">(G3/E3-1)*100</f>
        <v>21.45328719723183</v>
      </c>
      <c r="K3" t="s">
        <v>103</v>
      </c>
      <c r="L3" s="100">
        <v>0.25</v>
      </c>
      <c r="M3">
        <f t="shared" ref="M3:M8" si="2">10000*L3</f>
        <v>2500</v>
      </c>
    </row>
    <row r="4" spans="2:28" x14ac:dyDescent="0.2">
      <c r="B4" s="166"/>
      <c r="C4" t="s">
        <v>63</v>
      </c>
      <c r="D4" s="50">
        <f>SUM(D$20:D$26)</f>
        <v>38</v>
      </c>
      <c r="E4" s="30">
        <f>SUM($E$97,$G$97)/1000000</f>
        <v>79.064099999999996</v>
      </c>
      <c r="F4" s="30">
        <f>SUM(F$97,H$97)/1000000</f>
        <v>95.943938000000003</v>
      </c>
      <c r="G4" s="30">
        <f>SUM(F$97,I$97)/1000000</f>
        <v>65.298566666666673</v>
      </c>
      <c r="H4" s="26">
        <f t="shared" si="0"/>
        <v>21.349560672922351</v>
      </c>
      <c r="I4" s="27">
        <f t="shared" si="1"/>
        <v>-17.410598910672892</v>
      </c>
      <c r="K4" s="95" t="s">
        <v>99</v>
      </c>
      <c r="L4" s="101">
        <v>0.2</v>
      </c>
      <c r="M4">
        <f t="shared" si="2"/>
        <v>2000</v>
      </c>
    </row>
    <row r="5" spans="2:28" x14ac:dyDescent="0.2">
      <c r="B5" s="166"/>
      <c r="C5" t="s">
        <v>64</v>
      </c>
      <c r="D5" s="32">
        <f>SUM(D$27:D$40)</f>
        <v>35</v>
      </c>
      <c r="E5" s="30">
        <f>SUM($E$98,$G$98)/1000000</f>
        <v>100.26492</v>
      </c>
      <c r="F5" s="30">
        <f>SUM(F$98,H$98)/1000000</f>
        <v>149.629515</v>
      </c>
      <c r="G5" s="30">
        <f>SUM(F$98,I$98)/1000000</f>
        <v>121.96548</v>
      </c>
      <c r="H5" s="26">
        <f t="shared" si="0"/>
        <v>49.234163853120315</v>
      </c>
      <c r="I5" s="27">
        <f t="shared" si="1"/>
        <v>21.643222774226523</v>
      </c>
      <c r="K5" t="s">
        <v>100</v>
      </c>
      <c r="L5" s="101">
        <v>0.25</v>
      </c>
      <c r="M5">
        <f t="shared" si="2"/>
        <v>2500</v>
      </c>
      <c r="W5" s="23"/>
      <c r="X5" s="30"/>
      <c r="Y5" s="30"/>
      <c r="Z5" s="30"/>
      <c r="AA5" s="23"/>
      <c r="AB5" s="23"/>
    </row>
    <row r="6" spans="2:28" x14ac:dyDescent="0.2">
      <c r="B6" s="166"/>
      <c r="C6" t="s">
        <v>65</v>
      </c>
      <c r="D6" s="32">
        <f>SUM(D$41:D$54)</f>
        <v>10.5</v>
      </c>
      <c r="E6" s="30">
        <f>SUM($E$99,$G$99)/1000000</f>
        <v>32.543489999999998</v>
      </c>
      <c r="F6" s="30">
        <f>SUM(F$99,H$99)/1000000</f>
        <v>55.911320500000009</v>
      </c>
      <c r="G6" s="30">
        <f>SUM(F$99,I$99)/1000000</f>
        <v>60.764643333333339</v>
      </c>
      <c r="H6" s="26">
        <f t="shared" si="0"/>
        <v>71.804930878648875</v>
      </c>
      <c r="I6" s="27">
        <f t="shared" si="1"/>
        <v>86.718275554752552</v>
      </c>
      <c r="K6" t="s">
        <v>101</v>
      </c>
      <c r="L6" s="101">
        <v>0.15</v>
      </c>
      <c r="M6">
        <f t="shared" si="2"/>
        <v>1500</v>
      </c>
      <c r="W6" s="23"/>
      <c r="X6" s="30"/>
      <c r="Y6" s="30"/>
      <c r="Z6" s="30"/>
      <c r="AA6" s="23"/>
      <c r="AB6" s="23"/>
    </row>
    <row r="7" spans="2:28" x14ac:dyDescent="0.2">
      <c r="B7" s="166"/>
      <c r="C7" t="s">
        <v>66</v>
      </c>
      <c r="D7" s="32">
        <f>SUM(D$55:D$90)</f>
        <v>11.5</v>
      </c>
      <c r="E7" s="30">
        <f>SUM($E$100,$G$100)/1000000</f>
        <v>40.648350000000001</v>
      </c>
      <c r="F7" s="30">
        <f>SUM(F$100,H$100)/1000000</f>
        <v>70.3176615</v>
      </c>
      <c r="G7" s="30">
        <f>SUM(F$100,I$100)/1000000</f>
        <v>115.66164999999999</v>
      </c>
      <c r="H7" s="26">
        <f t="shared" si="0"/>
        <v>72.990198864160533</v>
      </c>
      <c r="I7" s="27">
        <f t="shared" si="1"/>
        <v>184.54205398251099</v>
      </c>
      <c r="K7" t="s">
        <v>102</v>
      </c>
      <c r="L7" s="101">
        <v>0.1</v>
      </c>
      <c r="M7">
        <f t="shared" si="2"/>
        <v>1000</v>
      </c>
      <c r="W7" s="23"/>
      <c r="X7" s="30"/>
      <c r="Y7" s="30"/>
      <c r="Z7" s="30"/>
      <c r="AA7" s="23"/>
      <c r="AB7" s="23"/>
    </row>
    <row r="8" spans="2:28" ht="17" thickBot="1" x14ac:dyDescent="0.25">
      <c r="B8" s="166"/>
      <c r="C8" s="18" t="s">
        <v>44</v>
      </c>
      <c r="D8" s="33">
        <f>SUM(D3:D7)</f>
        <v>100</v>
      </c>
      <c r="E8" s="31">
        <f>SUM($E$101,$G$101)/1000000</f>
        <v>252.52086</v>
      </c>
      <c r="F8" s="31">
        <f>SUM(F$101,H$101)/1000000</f>
        <v>371.802435</v>
      </c>
      <c r="G8" s="31">
        <f>SUM(F$101,I$101)/1000000</f>
        <v>363.69033999999999</v>
      </c>
      <c r="H8" s="28">
        <f t="shared" si="0"/>
        <v>47.23632534753763</v>
      </c>
      <c r="I8" s="29">
        <f t="shared" si="1"/>
        <v>44.023879848975646</v>
      </c>
      <c r="K8" t="s">
        <v>104</v>
      </c>
      <c r="L8" s="102">
        <v>0.05</v>
      </c>
      <c r="M8">
        <f t="shared" si="2"/>
        <v>500</v>
      </c>
      <c r="W8" s="23"/>
      <c r="X8" s="30"/>
      <c r="Y8" s="30"/>
      <c r="Z8" s="30"/>
      <c r="AA8" s="23"/>
      <c r="AB8" s="23"/>
    </row>
    <row r="9" spans="2:28" ht="17" thickBot="1" x14ac:dyDescent="0.25">
      <c r="B9" s="54"/>
      <c r="C9" s="55"/>
      <c r="D9" s="56"/>
      <c r="E9" s="57"/>
      <c r="F9" s="57"/>
      <c r="G9" s="57"/>
      <c r="H9" s="58"/>
      <c r="I9" s="59"/>
      <c r="K9" s="107" t="s">
        <v>105</v>
      </c>
      <c r="L9" s="112">
        <f>SUM(L3:L8)</f>
        <v>1</v>
      </c>
      <c r="M9" s="107">
        <f>SUM(M3:M8)</f>
        <v>10000</v>
      </c>
      <c r="W9" s="23"/>
      <c r="X9" s="30"/>
      <c r="Y9" s="30"/>
      <c r="Z9" s="30"/>
      <c r="AA9" s="23"/>
      <c r="AB9" s="23"/>
    </row>
    <row r="10" spans="2:28" ht="16" customHeight="1" x14ac:dyDescent="0.2">
      <c r="B10" s="166" t="s">
        <v>59</v>
      </c>
      <c r="C10" t="s">
        <v>43</v>
      </c>
      <c r="D10" s="32">
        <v>5</v>
      </c>
      <c r="E10" s="30">
        <f>SUM($M$96,$O$96)/1000000</f>
        <v>0.86699999999999999</v>
      </c>
      <c r="F10" s="30">
        <f>SUM(N$96,P$96)/1000000</f>
        <v>1.0529999999999999</v>
      </c>
      <c r="G10" s="30">
        <f>SUM(N$96,Q$96)/1000000</f>
        <v>1.0529999999999999</v>
      </c>
      <c r="H10" s="26">
        <f t="shared" ref="H10:H15" si="3">(F10/E10-1)*100</f>
        <v>21.45328719723183</v>
      </c>
      <c r="I10" s="27">
        <f t="shared" ref="I10:I15" si="4">(G10/E10-1)*100</f>
        <v>21.45328719723183</v>
      </c>
      <c r="K10" s="157" t="s">
        <v>109</v>
      </c>
      <c r="L10" s="158"/>
      <c r="M10" s="159"/>
      <c r="W10" s="23"/>
      <c r="X10" s="30"/>
      <c r="Y10" s="30"/>
      <c r="Z10" s="30"/>
      <c r="AA10" s="23"/>
      <c r="AB10" s="23"/>
    </row>
    <row r="11" spans="2:28" ht="16" customHeight="1" x14ac:dyDescent="0.2">
      <c r="B11" s="166"/>
      <c r="C11" t="s">
        <v>63</v>
      </c>
      <c r="D11" s="32">
        <f>SUM($L$20:$L$26)</f>
        <v>20</v>
      </c>
      <c r="E11" s="30">
        <f>SUM($M$97,$O$97)/1000000</f>
        <v>41.652839999999998</v>
      </c>
      <c r="F11" s="30">
        <f>SUM(N$97,P$97)/1000000</f>
        <v>50.545580000000001</v>
      </c>
      <c r="G11" s="30">
        <f>SUM(N$97,Q$97)/1000000</f>
        <v>34.737560000000002</v>
      </c>
      <c r="H11" s="26">
        <f t="shared" si="3"/>
        <v>21.34966067139721</v>
      </c>
      <c r="I11" s="27">
        <f t="shared" si="4"/>
        <v>-16.602181267831906</v>
      </c>
      <c r="K11" s="160"/>
      <c r="L11" s="161"/>
      <c r="M11" s="162"/>
      <c r="X11" s="24"/>
      <c r="Y11" s="24"/>
      <c r="Z11" s="24"/>
      <c r="AA11" s="23"/>
      <c r="AB11" s="23"/>
    </row>
    <row r="12" spans="2:28" ht="17" thickBot="1" x14ac:dyDescent="0.25">
      <c r="B12" s="166"/>
      <c r="C12" t="s">
        <v>64</v>
      </c>
      <c r="D12" s="50">
        <f>SUM($L$27:$L$40)</f>
        <v>35</v>
      </c>
      <c r="E12" s="30">
        <f>SUM($M$98,$O$98)/1000000</f>
        <v>101.11458</v>
      </c>
      <c r="F12" s="30">
        <f>SUM(N$98,P$98)/1000000</f>
        <v>158.451055</v>
      </c>
      <c r="G12" s="30">
        <f>SUM(N$98,Q$98)/1000000</f>
        <v>130.30168666666668</v>
      </c>
      <c r="H12" s="26">
        <f t="shared" si="3"/>
        <v>56.704458447040949</v>
      </c>
      <c r="I12" s="27">
        <f t="shared" si="4"/>
        <v>28.86537892623069</v>
      </c>
      <c r="K12" s="163"/>
      <c r="L12" s="164"/>
      <c r="M12" s="165"/>
      <c r="W12" s="23"/>
      <c r="X12" s="30"/>
      <c r="Y12" s="30"/>
      <c r="Z12" s="30"/>
      <c r="AA12" s="23"/>
      <c r="AB12" s="23"/>
    </row>
    <row r="13" spans="2:28" x14ac:dyDescent="0.2">
      <c r="B13" s="166"/>
      <c r="C13" t="s">
        <v>65</v>
      </c>
      <c r="D13" s="32">
        <f>SUM($L$41:$L$54)</f>
        <v>21</v>
      </c>
      <c r="E13" s="30">
        <f>SUM($M$99,$O$99)/1000000</f>
        <v>65.086979999999997</v>
      </c>
      <c r="F13" s="30">
        <f>SUM(N$99,P$99)/1000000</f>
        <v>111.82264100000002</v>
      </c>
      <c r="G13" s="30">
        <f>SUM(N$99,Q$99)/1000000</f>
        <v>121.52928666666668</v>
      </c>
      <c r="H13" s="26">
        <f t="shared" si="3"/>
        <v>71.804930878648875</v>
      </c>
      <c r="I13" s="27">
        <f t="shared" si="4"/>
        <v>86.718275554752552</v>
      </c>
      <c r="W13" s="23"/>
      <c r="X13" s="30"/>
      <c r="Y13" s="30"/>
      <c r="Z13" s="30"/>
      <c r="AA13" s="23"/>
      <c r="AB13" s="23"/>
    </row>
    <row r="14" spans="2:28" x14ac:dyDescent="0.2">
      <c r="B14" s="166"/>
      <c r="C14" t="s">
        <v>66</v>
      </c>
      <c r="D14" s="32">
        <f>SUM($L$55:$L$90)</f>
        <v>19</v>
      </c>
      <c r="E14" s="30">
        <f>SUM($M$100,$O$100)/1000000</f>
        <v>66.325635000000005</v>
      </c>
      <c r="F14" s="30">
        <f>SUM(N$100,P$100)/1000000</f>
        <v>114.66658399999993</v>
      </c>
      <c r="G14" s="30">
        <f>SUM(N$100,Q$100)/1000000</f>
        <v>182.92523166666669</v>
      </c>
      <c r="H14" s="26">
        <f t="shared" si="3"/>
        <v>72.884261115630352</v>
      </c>
      <c r="I14" s="27">
        <f t="shared" si="4"/>
        <v>175.79868879757677</v>
      </c>
      <c r="W14" s="23"/>
      <c r="X14" s="30"/>
      <c r="Y14" s="30"/>
      <c r="Z14" s="30"/>
      <c r="AA14" s="23"/>
      <c r="AB14" s="23"/>
    </row>
    <row r="15" spans="2:28" ht="17" thickBot="1" x14ac:dyDescent="0.25">
      <c r="B15" s="167"/>
      <c r="C15" s="18" t="s">
        <v>44</v>
      </c>
      <c r="D15" s="33">
        <f>SUM(D10:D14)</f>
        <v>100</v>
      </c>
      <c r="E15" s="34">
        <f>SUM($M$101,$O$101)/1000000</f>
        <v>274.18003499999998</v>
      </c>
      <c r="F15" s="34">
        <f>SUM(N$101,P$101)/1000000</f>
        <v>435.48585999999995</v>
      </c>
      <c r="G15" s="34">
        <f>SUM(N$101,Q$101)/1000000</f>
        <v>469.49376500000005</v>
      </c>
      <c r="H15" s="28">
        <f t="shared" si="3"/>
        <v>58.832082722580424</v>
      </c>
      <c r="I15" s="29">
        <f t="shared" si="4"/>
        <v>71.235577017852549</v>
      </c>
      <c r="W15" s="23"/>
      <c r="X15" s="30"/>
      <c r="Y15" s="30"/>
      <c r="Z15" s="30"/>
      <c r="AA15" s="23"/>
      <c r="AB15" s="23"/>
    </row>
    <row r="16" spans="2:28" x14ac:dyDescent="0.2">
      <c r="B16" s="97"/>
      <c r="D16" s="32"/>
      <c r="E16" s="98"/>
      <c r="F16" s="98"/>
      <c r="G16" s="98"/>
      <c r="H16" s="99"/>
      <c r="I16" s="99"/>
      <c r="W16" s="23"/>
      <c r="X16" s="30"/>
      <c r="Y16" s="30"/>
      <c r="Z16" s="30"/>
      <c r="AA16" s="23"/>
      <c r="AB16" s="23"/>
    </row>
    <row r="17" spans="3:28" x14ac:dyDescent="0.2">
      <c r="W17" s="23"/>
      <c r="X17" s="98"/>
      <c r="Y17" s="98"/>
      <c r="Z17" s="98"/>
      <c r="AA17" s="23"/>
      <c r="AB17" s="23"/>
    </row>
    <row r="18" spans="3:28" s="6" customFormat="1" ht="69" thickBot="1" x14ac:dyDescent="0.25">
      <c r="C18" s="25" t="s">
        <v>42</v>
      </c>
      <c r="D18" s="25" t="s">
        <v>47</v>
      </c>
      <c r="E18" s="25" t="s">
        <v>45</v>
      </c>
      <c r="F18" s="25" t="s">
        <v>46</v>
      </c>
      <c r="G18" s="25" t="s">
        <v>53</v>
      </c>
      <c r="H18" s="25" t="s">
        <v>54</v>
      </c>
      <c r="I18" s="25" t="s">
        <v>55</v>
      </c>
      <c r="K18" s="25" t="s">
        <v>42</v>
      </c>
      <c r="L18" s="25" t="s">
        <v>47</v>
      </c>
      <c r="M18" s="25" t="s">
        <v>45</v>
      </c>
      <c r="N18" s="25" t="s">
        <v>46</v>
      </c>
      <c r="O18" s="25" t="s">
        <v>53</v>
      </c>
      <c r="P18" s="25" t="s">
        <v>54</v>
      </c>
      <c r="Q18" s="25" t="s">
        <v>55</v>
      </c>
    </row>
    <row r="19" spans="3:28" ht="17" thickTop="1" x14ac:dyDescent="0.2">
      <c r="C19" s="113" t="s">
        <v>75</v>
      </c>
      <c r="D19" s="113">
        <v>5</v>
      </c>
      <c r="E19" s="113">
        <f>10*(D19)*(0*0.25+ 'Vstupní hodnoty'!H$4*0.2+'Vstupní hodnoty'!H$5*0.25+'Vstupní hodnoty'!H$6*0.15+'Vstupní hodnoty'!H$7*0.1+'Vstupní hodnoty'!H$8*0.05)</f>
        <v>8670</v>
      </c>
      <c r="F19" s="113">
        <f>10*(D19)*(0*0.25+'Vstupní hodnoty'!Q$4*0.2+'Vstupní hodnoty'!Q$5*0.25+'Vstupní hodnoty'!Q$6*0.15+'Vstupní hodnoty'!Q$7*0.1+'Vstupní hodnoty'!Q$8*0.05)</f>
        <v>10530</v>
      </c>
      <c r="G19" s="113">
        <v>0</v>
      </c>
      <c r="H19" s="113">
        <v>0</v>
      </c>
      <c r="I19" s="113">
        <f>IF(B19&gt;13, C19/(30/B19)+E19, 0)</f>
        <v>0</v>
      </c>
      <c r="K19" s="113" t="s">
        <v>75</v>
      </c>
      <c r="L19" s="113">
        <v>5</v>
      </c>
      <c r="M19" s="113">
        <f>10*(L19)*(0*0.25+ 'Vstupní hodnoty'!H$4*0.2+'Vstupní hodnoty'!H$5*0.25+'Vstupní hodnoty'!H$6*0.15+'Vstupní hodnoty'!H$7*0.1+'Vstupní hodnoty'!H$8*0.05)</f>
        <v>8670</v>
      </c>
      <c r="N19" s="113">
        <f>10*(L19)*(0*0.25+'Vstupní hodnoty'!Q$4*0.2+'Vstupní hodnoty'!Q$5*0.25+'Vstupní hodnoty'!Q$6*0.15+'Vstupní hodnoty'!Q$7*0.1+'Vstupní hodnoty'!Q$8*0.05)</f>
        <v>10530</v>
      </c>
      <c r="O19" s="113">
        <v>0</v>
      </c>
      <c r="P19" s="113">
        <v>0</v>
      </c>
      <c r="Q19" s="113">
        <f>IF(J19&gt;13, K19/(30/J19)+M19, 0)</f>
        <v>0</v>
      </c>
    </row>
    <row r="20" spans="3:28" x14ac:dyDescent="0.2">
      <c r="C20">
        <v>14</v>
      </c>
      <c r="D20">
        <v>10</v>
      </c>
      <c r="E20">
        <f>C20*(D20)*(0*$L$3+ 'Vstupní hodnoty'!H$4*$L$4+'Vstupní hodnoty'!H$5*$L$5+'Vstupní hodnoty'!H$6*$L$6+'Vstupní hodnoty'!H$7*$L$7+'Vstupní hodnoty'!H$8*$L$8)</f>
        <v>24276</v>
      </c>
      <c r="F20">
        <f>C20*(D20)*(0*0.25+'Vstupní hodnoty'!Q$4*0.2+'Vstupní hodnoty'!Q$5*0.25+'Vstupní hodnoty'!Q$6*0.15+'Vstupní hodnoty'!Q$7*0.1+'Vstupní hodnoty'!Q$8*0.05)</f>
        <v>29484</v>
      </c>
      <c r="G20">
        <f>IF(C20&lt;14, 0, IF(C20&lt;21, 18000, 24000))*D20</f>
        <v>180000</v>
      </c>
      <c r="H20">
        <f>(IF(C20&lt;14,0,IF(C20&lt;21,'Vstupní hodnoty'!N$4,IF(C20&lt;28,'Vstupní hodnoty'!N$5,IF(C20&lt;35,'Vstupní hodnoty'!N$6,'Vstupní hodnoty'!N$6))))+IF(C20&lt;14,0,IF(AI$15&lt;2,'Vstupní hodnoty'!O$6,IF(Model!AI$3&lt;3,'Vstupní hodnoty'!O$5,IF(Model!AI$3&lt;4,'Vstupní hodnoty'!O$4,0))))+'Vstupní hodnoty'!P$5)*D20+IF(C20&lt;21, 0, (C20-20)*'Vstupní hodnoty'!$O$5*'Vstupní hodnoty'!$A$17)*Vícenáklady!D20</f>
        <v>218400.09999999998</v>
      </c>
      <c r="I20" s="5">
        <f>('Vstupní hodnoty'!P$5+'Roční bonus alt 2'!D6)*D20+IF(C20&lt;21, 0, (C20-20)*'Vstupní hodnoty'!$O$5*'Vstupní hodnoty'!$A$17)*Vícenáklady!D20</f>
        <v>107466.66666666666</v>
      </c>
      <c r="K20">
        <v>14</v>
      </c>
      <c r="L20">
        <v>5</v>
      </c>
      <c r="M20">
        <f>K20*(L20)*(0*0.25+ 'Vstupní hodnoty'!H$4*0.2+'Vstupní hodnoty'!H$5*0.25+'Vstupní hodnoty'!H$6*0.15+'Vstupní hodnoty'!H$7*0.1+'Vstupní hodnoty'!H$8*0.05)</f>
        <v>12138</v>
      </c>
      <c r="N20">
        <f>K20*(L20)*(0*L$3+'Vstupní hodnoty'!Q$4*L$4+'Vstupní hodnoty'!Q$5*$L$5+'Vstupní hodnoty'!Q$6*$L$6+'Vstupní hodnoty'!Q$7*$L$7+'Vstupní hodnoty'!Q$8*$L$8)</f>
        <v>14742</v>
      </c>
      <c r="O20">
        <f>IF(K20&lt;14, 0, IF(K20&lt;21, 18000, 24000))*L20</f>
        <v>90000</v>
      </c>
      <c r="P20">
        <f>(IF(K20&lt;14,0,IF(K20&lt;21,'Vstupní hodnoty'!N$4,IF(K20&lt;28,'Vstupní hodnoty'!N$5,IF(K20&lt;35,'Vstupní hodnoty'!N$6,'Vstupní hodnoty'!N$6))))+IF(K20&lt;14,0,IF(AR$15&lt;2,'Vstupní hodnoty'!O$6,IF(Model!AR$3&lt;3,'Vstupní hodnoty'!O$5,IF(Model!AR$3&lt;4,'Vstupní hodnoty'!O$4,0))))+'Vstupní hodnoty'!P$5)*L20++IF(K20&lt;21, 0, (C20-20)*'Vstupní hodnoty'!$O$5*'Vstupní hodnoty'!$A$17)*Vícenáklady!L20</f>
        <v>109200.04999999999</v>
      </c>
      <c r="Q20">
        <f>('Vstupní hodnoty'!P$5+'Roční bonus alt 2'!D6)*L20+IF(K20&lt;21, 0, (C20-20)*'Vstupní hodnoty'!$O$5*'Vstupní hodnoty'!$A$17)*Vícenáklady!L20</f>
        <v>53733.333333333328</v>
      </c>
    </row>
    <row r="21" spans="3:28" x14ac:dyDescent="0.2">
      <c r="C21">
        <v>15</v>
      </c>
      <c r="D21">
        <v>7</v>
      </c>
      <c r="E21">
        <f>C21*(D21)*(0*$L$3+ 'Vstupní hodnoty'!H$4*$L$4+'Vstupní hodnoty'!H$5*$L$5+'Vstupní hodnoty'!H$6*$L$6+'Vstupní hodnoty'!H$7*$L$7+'Vstupní hodnoty'!H$8*$L$8)</f>
        <v>18207</v>
      </c>
      <c r="F21">
        <f>C21*(D21)*(0*0.25+'Vstupní hodnoty'!Q$4*0.2+'Vstupní hodnoty'!Q$5*0.25+'Vstupní hodnoty'!Q$6*0.15+'Vstupní hodnoty'!Q$7*0.1+'Vstupní hodnoty'!Q$8*0.05)</f>
        <v>22113</v>
      </c>
      <c r="G21">
        <f t="shared" ref="G21:G83" si="5">IF(C21&lt;14, 0, IF(C21&lt;21, 18000, 24000))*D21</f>
        <v>126000</v>
      </c>
      <c r="H21">
        <f>(IF(C21&lt;14,0,IF(C21&lt;21,'Vstupní hodnoty'!N$4,IF(C21&lt;28,'Vstupní hodnoty'!N$5,IF(C21&lt;35,'Vstupní hodnoty'!N$6,'Vstupní hodnoty'!N$6))))+IF(C21&lt;14,0,IF(AI$15&lt;2,'Vstupní hodnoty'!O$6,IF(Model!AI$3&lt;3,'Vstupní hodnoty'!O$5,IF(Model!AI$3&lt;4,'Vstupní hodnoty'!O$4,0))))+'Vstupní hodnoty'!P$5)*D21+IF(C21&lt;21, 0, (C21-20)*'Vstupní hodnoty'!$O$5*'Vstupní hodnoty'!$A$17)*Vícenáklady!D21</f>
        <v>152880.06999999998</v>
      </c>
      <c r="I21" s="5">
        <f>('Vstupní hodnoty'!P$5+'Roční bonus alt 2'!D7)*D21+IF(C21&lt;21, 0, (C21-20)*'Vstupní hodnoty'!$O$5*'Vstupní hodnoty'!$A$17)*Vícenáklady!D21</f>
        <v>84933.333333333343</v>
      </c>
      <c r="K21">
        <v>15</v>
      </c>
      <c r="L21">
        <v>4</v>
      </c>
      <c r="M21">
        <f>K21*(L21)*(0*0.25+ 'Vstupní hodnoty'!H$4*0.2+'Vstupní hodnoty'!H$5*0.25+'Vstupní hodnoty'!H$6*0.15+'Vstupní hodnoty'!H$7*0.1+'Vstupní hodnoty'!H$8*0.05)</f>
        <v>10404</v>
      </c>
      <c r="N21">
        <f>K21*(L21)*(0*L$3+'Vstupní hodnoty'!Q$4*L$4+'Vstupní hodnoty'!Q$5*$L$5+'Vstupní hodnoty'!Q$6*$L$6+'Vstupní hodnoty'!Q$7*$L$7+'Vstupní hodnoty'!Q$8*$L$8)</f>
        <v>12636</v>
      </c>
      <c r="O21">
        <f t="shared" ref="O21:O83" si="6">IF(K21&lt;14, 0, IF(K21&lt;21, 18000, 24000))*L21</f>
        <v>72000</v>
      </c>
      <c r="P21">
        <f>(IF(K21&lt;14,0,IF(K21&lt;21,'Vstupní hodnoty'!N$4,IF(K21&lt;28,'Vstupní hodnoty'!N$5,IF(K21&lt;35,'Vstupní hodnoty'!N$6,'Vstupní hodnoty'!N$6))))+IF(K21&lt;14,0,IF(AR$15&lt;2,'Vstupní hodnoty'!O$6,IF(Model!AR$3&lt;3,'Vstupní hodnoty'!O$5,IF(Model!AR$3&lt;4,'Vstupní hodnoty'!O$4,0))))+'Vstupní hodnoty'!P$5)*L21++IF(K21&lt;21, 0, (C21-20)*'Vstupní hodnoty'!$O$5*'Vstupní hodnoty'!$A$17)*Vícenáklady!L21</f>
        <v>87360.04</v>
      </c>
      <c r="Q21">
        <f>('Vstupní hodnoty'!P$5+'Roční bonus alt 2'!D7)*L21+IF(K21&lt;21, 0, (C21-20)*'Vstupní hodnoty'!$O$5*'Vstupní hodnoty'!$A$17)*Vícenáklady!L21</f>
        <v>48533.333333333336</v>
      </c>
    </row>
    <row r="22" spans="3:28" x14ac:dyDescent="0.2">
      <c r="C22">
        <v>16</v>
      </c>
      <c r="D22">
        <v>6</v>
      </c>
      <c r="E22">
        <f>C22*(D22)*(0*$L$3+ 'Vstupní hodnoty'!H$4*$L$4+'Vstupní hodnoty'!H$5*$L$5+'Vstupní hodnoty'!H$6*$L$6+'Vstupní hodnoty'!H$7*$L$7+'Vstupní hodnoty'!H$8*$L$8)</f>
        <v>16646.400000000001</v>
      </c>
      <c r="F22">
        <f>C22*(D22)*(0*0.25+'Vstupní hodnoty'!Q$4*0.2+'Vstupní hodnoty'!Q$5*0.25+'Vstupní hodnoty'!Q$6*0.15+'Vstupní hodnoty'!Q$7*0.1+'Vstupní hodnoty'!Q$8*0.05)</f>
        <v>20217.599999999999</v>
      </c>
      <c r="G22">
        <f t="shared" si="5"/>
        <v>108000</v>
      </c>
      <c r="H22">
        <f>(IF(C22&lt;14,0,IF(C22&lt;21,'Vstupní hodnoty'!N$4,IF(C22&lt;28,'Vstupní hodnoty'!N$5,IF(C22&lt;35,'Vstupní hodnoty'!N$6,'Vstupní hodnoty'!N$6))))+IF(C22&lt;14,0,IF(AI$15&lt;2,'Vstupní hodnoty'!O$6,IF(Model!AI$3&lt;3,'Vstupní hodnoty'!O$5,IF(Model!AI$3&lt;4,'Vstupní hodnoty'!O$4,0))))+'Vstupní hodnoty'!P$5)*D22+IF(C22&lt;21, 0, (C22-20)*'Vstupní hodnoty'!$O$5*'Vstupní hodnoty'!$A$17)*Vícenáklady!D22</f>
        <v>131040.06</v>
      </c>
      <c r="I22" s="5">
        <f>('Vstupní hodnoty'!P$5+'Roční bonus alt 2'!D8)*D22+IF(C22&lt;21, 0, (C22-20)*'Vstupní hodnoty'!$O$5*'Vstupní hodnoty'!$A$17)*Vícenáklady!D22</f>
        <v>81120</v>
      </c>
      <c r="K22">
        <v>16</v>
      </c>
      <c r="L22">
        <v>3</v>
      </c>
      <c r="M22">
        <f>K22*(L22)*(0*0.25+ 'Vstupní hodnoty'!H$4*0.2+'Vstupní hodnoty'!H$5*0.25+'Vstupní hodnoty'!H$6*0.15+'Vstupní hodnoty'!H$7*0.1+'Vstupní hodnoty'!H$8*0.05)</f>
        <v>8323.2000000000007</v>
      </c>
      <c r="N22">
        <f>K22*(L22)*(0*L$3+'Vstupní hodnoty'!Q$4*L$4+'Vstupní hodnoty'!Q$5*$L$5+'Vstupní hodnoty'!Q$6*$L$6+'Vstupní hodnoty'!Q$7*$L$7+'Vstupní hodnoty'!Q$8*$L$8)</f>
        <v>10108.799999999999</v>
      </c>
      <c r="O22">
        <f t="shared" si="6"/>
        <v>54000</v>
      </c>
      <c r="P22">
        <f>(IF(K22&lt;14,0,IF(K22&lt;21,'Vstupní hodnoty'!N$4,IF(K22&lt;28,'Vstupní hodnoty'!N$5,IF(K22&lt;35,'Vstupní hodnoty'!N$6,'Vstupní hodnoty'!N$6))))+IF(K22&lt;14,0,IF(AR$15&lt;2,'Vstupní hodnoty'!O$6,IF(Model!AR$3&lt;3,'Vstupní hodnoty'!O$5,IF(Model!AR$3&lt;4,'Vstupní hodnoty'!O$4,0))))+'Vstupní hodnoty'!P$5)*L22++IF(K22&lt;21, 0, (C22-20)*'Vstupní hodnoty'!$O$5*'Vstupní hodnoty'!$A$17)*Vícenáklady!L22</f>
        <v>65520.03</v>
      </c>
      <c r="Q22">
        <f>('Vstupní hodnoty'!P$5+'Roční bonus alt 2'!D8)*L22+IF(K22&lt;21, 0, (C22-20)*'Vstupní hodnoty'!$O$5*'Vstupní hodnoty'!$A$17)*Vícenáklady!L22</f>
        <v>40560</v>
      </c>
    </row>
    <row r="23" spans="3:28" x14ac:dyDescent="0.2">
      <c r="C23">
        <v>17</v>
      </c>
      <c r="D23">
        <v>5</v>
      </c>
      <c r="E23">
        <f>C23*(D23)*(0*$L$3+ 'Vstupní hodnoty'!H$4*$L$4+'Vstupní hodnoty'!H$5*$L$5+'Vstupní hodnoty'!H$6*$L$6+'Vstupní hodnoty'!H$7*$L$7+'Vstupní hodnoty'!H$8*$L$8)</f>
        <v>14739</v>
      </c>
      <c r="F23">
        <f>C23*(D23)*(0*0.25+'Vstupní hodnoty'!Q$4*0.2+'Vstupní hodnoty'!Q$5*0.25+'Vstupní hodnoty'!Q$6*0.15+'Vstupní hodnoty'!Q$7*0.1+'Vstupní hodnoty'!Q$8*0.05)</f>
        <v>17901</v>
      </c>
      <c r="G23">
        <f t="shared" si="5"/>
        <v>90000</v>
      </c>
      <c r="H23">
        <f>(IF(C23&lt;14,0,IF(C23&lt;21,'Vstupní hodnoty'!N$4,IF(C23&lt;28,'Vstupní hodnoty'!N$5,IF(C23&lt;35,'Vstupní hodnoty'!N$6,'Vstupní hodnoty'!N$6))))+IF(C23&lt;14,0,IF(AI$15&lt;2,'Vstupní hodnoty'!O$6,IF(Model!AI$3&lt;3,'Vstupní hodnoty'!O$5,IF(Model!AI$3&lt;4,'Vstupní hodnoty'!O$4,0))))+'Vstupní hodnoty'!P$5)*D23+IF(C23&lt;21, 0, (C23-20)*'Vstupní hodnoty'!$O$5*'Vstupní hodnoty'!$A$17)*Vícenáklady!D23</f>
        <v>109200.04999999999</v>
      </c>
      <c r="I23" s="5">
        <f>('Vstupní hodnoty'!P$5+'Roční bonus alt 2'!D9)*D23+IF(C23&lt;21, 0, (C23-20)*'Vstupní hodnoty'!$O$5*'Vstupní hodnoty'!$A$17)*Vícenáklady!D23</f>
        <v>74533.333333333343</v>
      </c>
      <c r="K23">
        <v>17</v>
      </c>
      <c r="L23">
        <v>2</v>
      </c>
      <c r="M23">
        <f>K23*(L23)*(0*0.25+ 'Vstupní hodnoty'!H$4*0.2+'Vstupní hodnoty'!H$5*0.25+'Vstupní hodnoty'!H$6*0.15+'Vstupní hodnoty'!H$7*0.1+'Vstupní hodnoty'!H$8*0.05)</f>
        <v>5895.6</v>
      </c>
      <c r="N23">
        <f>K23*(L23)*(0*L$3+'Vstupní hodnoty'!Q$4*L$4+'Vstupní hodnoty'!Q$5*$L$5+'Vstupní hodnoty'!Q$6*$L$6+'Vstupní hodnoty'!Q$7*$L$7+'Vstupní hodnoty'!Q$8*$L$8)</f>
        <v>7160.4</v>
      </c>
      <c r="O23">
        <f t="shared" si="6"/>
        <v>36000</v>
      </c>
      <c r="P23">
        <f>(IF(K23&lt;14,0,IF(K23&lt;21,'Vstupní hodnoty'!N$4,IF(K23&lt;28,'Vstupní hodnoty'!N$5,IF(K23&lt;35,'Vstupní hodnoty'!N$6,'Vstupní hodnoty'!N$6))))+IF(K23&lt;14,0,IF(AR$15&lt;2,'Vstupní hodnoty'!O$6,IF(Model!AR$3&lt;3,'Vstupní hodnoty'!O$5,IF(Model!AR$3&lt;4,'Vstupní hodnoty'!O$4,0))))+'Vstupní hodnoty'!P$5)*L23++IF(K23&lt;21, 0, (C23-20)*'Vstupní hodnoty'!$O$5*'Vstupní hodnoty'!$A$17)*Vícenáklady!L23</f>
        <v>43680.02</v>
      </c>
      <c r="Q23">
        <f>('Vstupní hodnoty'!P$5+'Roční bonus alt 2'!D9)*L23+IF(K23&lt;21, 0, (C23-20)*'Vstupní hodnoty'!$O$5*'Vstupní hodnoty'!$A$17)*Vícenáklady!L23</f>
        <v>29813.333333333336</v>
      </c>
    </row>
    <row r="24" spans="3:28" x14ac:dyDescent="0.2">
      <c r="C24">
        <v>18</v>
      </c>
      <c r="D24">
        <v>4</v>
      </c>
      <c r="E24">
        <f>C24*(D24)*(0*$L$3+ 'Vstupní hodnoty'!H$4*$L$4+'Vstupní hodnoty'!H$5*$L$5+'Vstupní hodnoty'!H$6*$L$6+'Vstupní hodnoty'!H$7*$L$7+'Vstupní hodnoty'!H$8*$L$8)</f>
        <v>12484.800000000001</v>
      </c>
      <c r="F24">
        <f>C24*(D24)*(0*0.25+'Vstupní hodnoty'!Q$4*0.2+'Vstupní hodnoty'!Q$5*0.25+'Vstupní hodnoty'!Q$6*0.15+'Vstupní hodnoty'!Q$7*0.1+'Vstupní hodnoty'!Q$8*0.05)</f>
        <v>15163.199999999999</v>
      </c>
      <c r="G24">
        <f t="shared" si="5"/>
        <v>72000</v>
      </c>
      <c r="H24">
        <f>(IF(C24&lt;14,0,IF(C24&lt;21,'Vstupní hodnoty'!N$4,IF(C24&lt;28,'Vstupní hodnoty'!N$5,IF(C24&lt;35,'Vstupní hodnoty'!N$6,'Vstupní hodnoty'!N$6))))+IF(C24&lt;14,0,IF(AI$15&lt;2,'Vstupní hodnoty'!O$6,IF(Model!AI$3&lt;3,'Vstupní hodnoty'!O$5,IF(Model!AI$3&lt;4,'Vstupní hodnoty'!O$4,0))))+'Vstupní hodnoty'!P$5)*D24+IF(C24&lt;21, 0, (C24-20)*'Vstupní hodnoty'!$O$5*'Vstupní hodnoty'!$A$17)*Vícenáklady!D24</f>
        <v>87360.04</v>
      </c>
      <c r="I24" s="5">
        <f>('Vstupní hodnoty'!P$5+'Roční bonus alt 2'!D10)*D24+IF(C24&lt;21, 0, (C24-20)*'Vstupní hodnoty'!$O$5*'Vstupní hodnoty'!$A$17)*Vícenáklady!D24</f>
        <v>65173.333333333336</v>
      </c>
      <c r="K24">
        <v>18</v>
      </c>
      <c r="L24">
        <v>2</v>
      </c>
      <c r="M24">
        <f>K24*(L24)*(0*0.25+ 'Vstupní hodnoty'!H$4*0.2+'Vstupní hodnoty'!H$5*0.25+'Vstupní hodnoty'!H$6*0.15+'Vstupní hodnoty'!H$7*0.1+'Vstupní hodnoty'!H$8*0.05)</f>
        <v>6242.4000000000005</v>
      </c>
      <c r="N24">
        <f>K24*(L24)*(0*L$3+'Vstupní hodnoty'!Q$4*L$4+'Vstupní hodnoty'!Q$5*$L$5+'Vstupní hodnoty'!Q$6*$L$6+'Vstupní hodnoty'!Q$7*$L$7+'Vstupní hodnoty'!Q$8*$L$8)</f>
        <v>7581.5999999999995</v>
      </c>
      <c r="O24">
        <f t="shared" si="6"/>
        <v>36000</v>
      </c>
      <c r="P24">
        <f>(IF(K24&lt;14,0,IF(K24&lt;21,'Vstupní hodnoty'!N$4,IF(K24&lt;28,'Vstupní hodnoty'!N$5,IF(K24&lt;35,'Vstupní hodnoty'!N$6,'Vstupní hodnoty'!N$6))))+IF(K24&lt;14,0,IF(AR$15&lt;2,'Vstupní hodnoty'!O$6,IF(Model!AR$3&lt;3,'Vstupní hodnoty'!O$5,IF(Model!AR$3&lt;4,'Vstupní hodnoty'!O$4,0))))+'Vstupní hodnoty'!P$5)*L24++IF(K24&lt;21, 0, (C24-20)*'Vstupní hodnoty'!$O$5*'Vstupní hodnoty'!$A$17)*Vícenáklady!L24</f>
        <v>43680.02</v>
      </c>
      <c r="Q24">
        <f>('Vstupní hodnoty'!P$5+'Roční bonus alt 2'!D10)*L24+IF(K24&lt;21, 0, (C24-20)*'Vstupní hodnoty'!$O$5*'Vstupní hodnoty'!$A$17)*Vícenáklady!L24</f>
        <v>32586.666666666668</v>
      </c>
    </row>
    <row r="25" spans="3:28" x14ac:dyDescent="0.2">
      <c r="C25">
        <v>19</v>
      </c>
      <c r="D25">
        <v>3</v>
      </c>
      <c r="E25">
        <f>C25*(D25)*(0*$L$3+ 'Vstupní hodnoty'!H$4*$L$4+'Vstupní hodnoty'!H$5*$L$5+'Vstupní hodnoty'!H$6*$L$6+'Vstupní hodnoty'!H$7*$L$7+'Vstupní hodnoty'!H$8*$L$8)</f>
        <v>9883.8000000000011</v>
      </c>
      <c r="F25">
        <f>C25*(D25)*(0*0.25+'Vstupní hodnoty'!Q$4*0.2+'Vstupní hodnoty'!Q$5*0.25+'Vstupní hodnoty'!Q$6*0.15+'Vstupní hodnoty'!Q$7*0.1+'Vstupní hodnoty'!Q$8*0.05)</f>
        <v>12004.199999999999</v>
      </c>
      <c r="G25">
        <f t="shared" si="5"/>
        <v>54000</v>
      </c>
      <c r="H25">
        <f>(IF(C25&lt;14,0,IF(C25&lt;21,'Vstupní hodnoty'!N$4,IF(C25&lt;28,'Vstupní hodnoty'!N$5,IF(C25&lt;35,'Vstupní hodnoty'!N$6,'Vstupní hodnoty'!N$6))))+IF(C25&lt;14,0,IF(AI$15&lt;2,'Vstupní hodnoty'!O$6,IF(Model!AI$3&lt;3,'Vstupní hodnoty'!O$5,IF(Model!AI$3&lt;4,'Vstupní hodnoty'!O$4,0))))+'Vstupní hodnoty'!P$5)*D25+IF(C25&lt;21, 0, (C25-20)*'Vstupní hodnoty'!$O$5*'Vstupní hodnoty'!$A$17)*Vícenáklady!D25</f>
        <v>65520.03</v>
      </c>
      <c r="I25" s="5">
        <f>('Vstupní hodnoty'!P$5+'Roční bonus alt 2'!D11)*D25+IF(C25&lt;21, 0, (C25-20)*'Vstupní hodnoty'!$O$5*'Vstupní hodnoty'!$A$17)*Vícenáklady!D25</f>
        <v>53040</v>
      </c>
      <c r="K25">
        <v>19</v>
      </c>
      <c r="L25">
        <v>2</v>
      </c>
      <c r="M25">
        <f>K25*(L25)*(0*0.25+ 'Vstupní hodnoty'!H$4*0.2+'Vstupní hodnoty'!H$5*0.25+'Vstupní hodnoty'!H$6*0.15+'Vstupní hodnoty'!H$7*0.1+'Vstupní hodnoty'!H$8*0.05)</f>
        <v>6589.2</v>
      </c>
      <c r="N25">
        <f>K25*(L25)*(0*L$3+'Vstupní hodnoty'!Q$4*L$4+'Vstupní hodnoty'!Q$5*$L$5+'Vstupní hodnoty'!Q$6*$L$6+'Vstupní hodnoty'!Q$7*$L$7+'Vstupní hodnoty'!Q$8*$L$8)</f>
        <v>8002.8</v>
      </c>
      <c r="O25">
        <f t="shared" si="6"/>
        <v>36000</v>
      </c>
      <c r="P25">
        <f>(IF(K25&lt;14,0,IF(K25&lt;21,'Vstupní hodnoty'!N$4,IF(K25&lt;28,'Vstupní hodnoty'!N$5,IF(K25&lt;35,'Vstupní hodnoty'!N$6,'Vstupní hodnoty'!N$6))))+IF(K25&lt;14,0,IF(AR$15&lt;2,'Vstupní hodnoty'!O$6,IF(Model!AR$3&lt;3,'Vstupní hodnoty'!O$5,IF(Model!AR$3&lt;4,'Vstupní hodnoty'!O$4,0))))+'Vstupní hodnoty'!P$5)*L25++IF(K25&lt;21, 0, (C25-20)*'Vstupní hodnoty'!$O$5*'Vstupní hodnoty'!$A$17)*Vícenáklady!L25</f>
        <v>43680.02</v>
      </c>
      <c r="Q25">
        <f>('Vstupní hodnoty'!P$5+'Roční bonus alt 2'!D11)*L25+IF(K25&lt;21, 0, (C25-20)*'Vstupní hodnoty'!$O$5*'Vstupní hodnoty'!$A$17)*Vícenáklady!L25</f>
        <v>35360</v>
      </c>
    </row>
    <row r="26" spans="3:28" x14ac:dyDescent="0.2">
      <c r="C26">
        <v>20</v>
      </c>
      <c r="D26">
        <v>3</v>
      </c>
      <c r="E26">
        <f>C26*(D26)*(0*$L$3+ 'Vstupní hodnoty'!H$4*$L$4+'Vstupní hodnoty'!H$5*$L$5+'Vstupní hodnoty'!H$6*$L$6+'Vstupní hodnoty'!H$7*$L$7+'Vstupní hodnoty'!H$8*$L$8)</f>
        <v>10404</v>
      </c>
      <c r="F26">
        <f>C26*(D26)*(0*0.25+'Vstupní hodnoty'!Q$4*0.2+'Vstupní hodnoty'!Q$5*0.25+'Vstupní hodnoty'!Q$6*0.15+'Vstupní hodnoty'!Q$7*0.1+'Vstupní hodnoty'!Q$8*0.05)</f>
        <v>12636</v>
      </c>
      <c r="G26">
        <f t="shared" si="5"/>
        <v>54000</v>
      </c>
      <c r="H26">
        <f>(IF(C26&lt;14,0,IF(C26&lt;21,'Vstupní hodnoty'!N$4,IF(C26&lt;28,'Vstupní hodnoty'!N$5,IF(C26&lt;35,'Vstupní hodnoty'!N$6,'Vstupní hodnoty'!N$6))))+IF(C26&lt;14,0,IF(AI$15&lt;2,'Vstupní hodnoty'!O$6,IF(Model!AI$3&lt;3,'Vstupní hodnoty'!O$5,IF(Model!AI$3&lt;4,'Vstupní hodnoty'!O$4,0))))+'Vstupní hodnoty'!P$5)*D26+IF(C26&lt;21, 0, (C26-20)*'Vstupní hodnoty'!$O$5*'Vstupní hodnoty'!$A$17)*Vícenáklady!D26</f>
        <v>65520.03</v>
      </c>
      <c r="I26" s="5">
        <f>('Vstupní hodnoty'!P$5+'Roční bonus alt 2'!D12)*D26+IF(C26&lt;21, 0, (C26-20)*'Vstupní hodnoty'!$O$5*'Vstupní hodnoty'!$A$17)*Vícenáklady!D26</f>
        <v>57199.999999999993</v>
      </c>
      <c r="K26">
        <v>20</v>
      </c>
      <c r="L26">
        <v>2</v>
      </c>
      <c r="M26">
        <f>K26*(L26)*(0*0.25+ 'Vstupní hodnoty'!H$4*0.2+'Vstupní hodnoty'!H$5*0.25+'Vstupní hodnoty'!H$6*0.15+'Vstupní hodnoty'!H$7*0.1+'Vstupní hodnoty'!H$8*0.05)</f>
        <v>6936</v>
      </c>
      <c r="N26">
        <f>K26*(L26)*(0*L$3+'Vstupní hodnoty'!Q$4*L$4+'Vstupní hodnoty'!Q$5*$L$5+'Vstupní hodnoty'!Q$6*$L$6+'Vstupní hodnoty'!Q$7*$L$7+'Vstupní hodnoty'!Q$8*$L$8)</f>
        <v>8424</v>
      </c>
      <c r="O26">
        <f t="shared" si="6"/>
        <v>36000</v>
      </c>
      <c r="P26">
        <f>(IF(K26&lt;14,0,IF(K26&lt;21,'Vstupní hodnoty'!N$4,IF(K26&lt;28,'Vstupní hodnoty'!N$5,IF(K26&lt;35,'Vstupní hodnoty'!N$6,'Vstupní hodnoty'!N$6))))+IF(K26&lt;14,0,IF(AR$15&lt;2,'Vstupní hodnoty'!O$6,IF(Model!AR$3&lt;3,'Vstupní hodnoty'!O$5,IF(Model!AR$3&lt;4,'Vstupní hodnoty'!O$4,0))))+'Vstupní hodnoty'!P$5)*L26++IF(K26&lt;21, 0, (C26-20)*'Vstupní hodnoty'!$O$5*'Vstupní hodnoty'!$A$17)*Vícenáklady!L26</f>
        <v>43680.02</v>
      </c>
      <c r="Q26">
        <f>('Vstupní hodnoty'!P$5+'Roční bonus alt 2'!D12)*L26+IF(K26&lt;21, 0, (C26-20)*'Vstupní hodnoty'!$O$5*'Vstupní hodnoty'!$A$17)*Vícenáklady!L26</f>
        <v>38133.333333333328</v>
      </c>
    </row>
    <row r="27" spans="3:28" x14ac:dyDescent="0.2">
      <c r="C27">
        <v>21</v>
      </c>
      <c r="D27">
        <v>3</v>
      </c>
      <c r="E27">
        <f>C27*(D27)*(0*$L$3+ 'Vstupní hodnoty'!H$4*$L$4+'Vstupní hodnoty'!H$5*$L$5+'Vstupní hodnoty'!H$6*$L$6+'Vstupní hodnoty'!H$7*$L$7+'Vstupní hodnoty'!H$8*$L$8)</f>
        <v>10924.2</v>
      </c>
      <c r="F27">
        <f>C27*(D27)*(0*0.25+'Vstupní hodnoty'!Q$4*0.2+'Vstupní hodnoty'!Q$5*0.25+'Vstupní hodnoty'!Q$6*0.15+'Vstupní hodnoty'!Q$7*0.1+'Vstupní hodnoty'!Q$8*0.05)</f>
        <v>13267.8</v>
      </c>
      <c r="G27">
        <f t="shared" si="5"/>
        <v>72000</v>
      </c>
      <c r="H27">
        <f>(IF(C27&lt;14,0,IF(C27&lt;21,'Vstupní hodnoty'!N$4,IF(C27&lt;28,'Vstupní hodnoty'!N$5,IF(C27&lt;35,'Vstupní hodnoty'!N$6,'Vstupní hodnoty'!N$6))))+IF(C27&lt;14,0,IF(AI$15&lt;2,'Vstupní hodnoty'!O$6,IF(Model!AI$3&lt;3,'Vstupní hodnoty'!O$5,IF(Model!AI$3&lt;4,'Vstupní hodnoty'!O$4,0))))+'Vstupní hodnoty'!P$5)*D27+IF(C27&lt;21, 0, (C27-20)*'Vstupní hodnoty'!$O$5*'Vstupní hodnoty'!$A$17)*Vícenáklady!D27</f>
        <v>97032.03</v>
      </c>
      <c r="I27" s="5">
        <f>('Vstupní hodnoty'!P$5+'Roční bonus alt 2'!D13)*D27+IF(C27&lt;21, 0, (C27-20)*'Vstupní hodnoty'!$O$5*'Vstupní hodnoty'!$A$17)*Vícenáklady!D27</f>
        <v>61672.000000000007</v>
      </c>
      <c r="K27">
        <v>21</v>
      </c>
      <c r="L27">
        <v>2</v>
      </c>
      <c r="M27">
        <f>K27*(L27)*(0*0.25+ 'Vstupní hodnoty'!H$4*0.2+'Vstupní hodnoty'!H$5*0.25+'Vstupní hodnoty'!H$6*0.15+'Vstupní hodnoty'!H$7*0.1+'Vstupní hodnoty'!H$8*0.05)</f>
        <v>7282.8</v>
      </c>
      <c r="N27">
        <f>K27*(L27)*(0*L$3+'Vstupní hodnoty'!Q$4*L$4+'Vstupní hodnoty'!Q$5*$L$5+'Vstupní hodnoty'!Q$6*$L$6+'Vstupní hodnoty'!Q$7*$L$7+'Vstupní hodnoty'!Q$8*$L$8)</f>
        <v>8845.1999999999989</v>
      </c>
      <c r="O27">
        <f t="shared" si="6"/>
        <v>48000</v>
      </c>
      <c r="P27">
        <f>(IF(K27&lt;14,0,IF(K27&lt;21,'Vstupní hodnoty'!N$4,IF(K27&lt;28,'Vstupní hodnoty'!N$5,IF(K27&lt;35,'Vstupní hodnoty'!N$6,'Vstupní hodnoty'!N$6))))+IF(K27&lt;14,0,IF(AR$15&lt;2,'Vstupní hodnoty'!O$6,IF(Model!AR$3&lt;3,'Vstupní hodnoty'!O$5,IF(Model!AR$3&lt;4,'Vstupní hodnoty'!O$4,0))))+'Vstupní hodnoty'!P$5)*L27++IF(K27&lt;21, 0, (C27-20)*'Vstupní hodnoty'!$O$5*'Vstupní hodnoty'!$A$17)*Vícenáklady!L27</f>
        <v>64688.02</v>
      </c>
      <c r="Q27">
        <f>('Vstupní hodnoty'!P$5+'Roční bonus alt 2'!D13)*L27+IF(K27&lt;21, 0, (C27-20)*'Vstupní hodnoty'!$O$5*'Vstupní hodnoty'!$A$17)*Vícenáklady!L27</f>
        <v>41114.666666666672</v>
      </c>
    </row>
    <row r="28" spans="3:28" x14ac:dyDescent="0.2">
      <c r="C28">
        <v>22</v>
      </c>
      <c r="D28">
        <v>3</v>
      </c>
      <c r="E28">
        <f>C28*(D28)*(0*$L$3+ 'Vstupní hodnoty'!H$4*$L$4+'Vstupní hodnoty'!H$5*$L$5+'Vstupní hodnoty'!H$6*$L$6+'Vstupní hodnoty'!H$7*$L$7+'Vstupní hodnoty'!H$8*$L$8)</f>
        <v>11444.4</v>
      </c>
      <c r="F28">
        <f>C28*(D28)*(0*0.25+'Vstupní hodnoty'!Q$4*0.2+'Vstupní hodnoty'!Q$5*0.25+'Vstupní hodnoty'!Q$6*0.15+'Vstupní hodnoty'!Q$7*0.1+'Vstupní hodnoty'!Q$8*0.05)</f>
        <v>13899.6</v>
      </c>
      <c r="G28">
        <f t="shared" si="5"/>
        <v>72000</v>
      </c>
      <c r="H28">
        <f>(IF(C28&lt;14,0,IF(C28&lt;21,'Vstupní hodnoty'!N$4,IF(C28&lt;28,'Vstupní hodnoty'!N$5,IF(C28&lt;35,'Vstupní hodnoty'!N$6,'Vstupní hodnoty'!N$6))))+IF(C28&lt;14,0,IF(AI$15&lt;2,'Vstupní hodnoty'!O$6,IF(Model!AI$3&lt;3,'Vstupní hodnoty'!O$5,IF(Model!AI$3&lt;4,'Vstupní hodnoty'!O$4,0))))+'Vstupní hodnoty'!P$5)*D28+IF(C28&lt;21, 0, (C28-20)*'Vstupní hodnoty'!$O$5*'Vstupní hodnoty'!$A$17)*Vícenáklady!D28</f>
        <v>97344.03</v>
      </c>
      <c r="I28" s="5">
        <f>('Vstupní hodnoty'!P$5+'Roční bonus alt 2'!D14)*D28+IF(C28&lt;21, 0, (C28-20)*'Vstupní hodnoty'!$O$5*'Vstupní hodnoty'!$A$17)*Vícenáklady!D28</f>
        <v>66144</v>
      </c>
      <c r="K28">
        <v>22</v>
      </c>
      <c r="L28">
        <v>2</v>
      </c>
      <c r="M28">
        <f>K28*(L28)*(0*0.25+ 'Vstupní hodnoty'!H$4*0.2+'Vstupní hodnoty'!H$5*0.25+'Vstupní hodnoty'!H$6*0.15+'Vstupní hodnoty'!H$7*0.1+'Vstupní hodnoty'!H$8*0.05)</f>
        <v>7629.6</v>
      </c>
      <c r="N28">
        <f>K28*(L28)*(0*L$3+'Vstupní hodnoty'!Q$4*L$4+'Vstupní hodnoty'!Q$5*$L$5+'Vstupní hodnoty'!Q$6*$L$6+'Vstupní hodnoty'!Q$7*$L$7+'Vstupní hodnoty'!Q$8*$L$8)</f>
        <v>9266.4</v>
      </c>
      <c r="O28">
        <f t="shared" si="6"/>
        <v>48000</v>
      </c>
      <c r="P28">
        <f>(IF(K28&lt;14,0,IF(K28&lt;21,'Vstupní hodnoty'!N$4,IF(K28&lt;28,'Vstupní hodnoty'!N$5,IF(K28&lt;35,'Vstupní hodnoty'!N$6,'Vstupní hodnoty'!N$6))))+IF(K28&lt;14,0,IF(AR$15&lt;2,'Vstupní hodnoty'!O$6,IF(Model!AR$3&lt;3,'Vstupní hodnoty'!O$5,IF(Model!AR$3&lt;4,'Vstupní hodnoty'!O$4,0))))+'Vstupní hodnoty'!P$5)*L28++IF(K28&lt;21, 0, (C28-20)*'Vstupní hodnoty'!$O$5*'Vstupní hodnoty'!$A$17)*Vícenáklady!L28</f>
        <v>64896.02</v>
      </c>
      <c r="Q28">
        <f>('Vstupní hodnoty'!P$5+'Roční bonus alt 2'!D14)*L28+IF(K28&lt;21, 0, (C28-20)*'Vstupní hodnoty'!$O$5*'Vstupní hodnoty'!$A$17)*Vícenáklady!L28</f>
        <v>44096</v>
      </c>
    </row>
    <row r="29" spans="3:28" x14ac:dyDescent="0.2">
      <c r="C29">
        <v>23</v>
      </c>
      <c r="D29">
        <v>3</v>
      </c>
      <c r="E29">
        <f>C29*(D29)*(0*$L$3+ 'Vstupní hodnoty'!H$4*$L$4+'Vstupní hodnoty'!H$5*$L$5+'Vstupní hodnoty'!H$6*$L$6+'Vstupní hodnoty'!H$7*$L$7+'Vstupní hodnoty'!H$8*$L$8)</f>
        <v>11964.6</v>
      </c>
      <c r="F29">
        <f>C29*(D29)*(0*0.25+'Vstupní hodnoty'!Q$4*0.2+'Vstupní hodnoty'!Q$5*0.25+'Vstupní hodnoty'!Q$6*0.15+'Vstupní hodnoty'!Q$7*0.1+'Vstupní hodnoty'!Q$8*0.05)</f>
        <v>14531.4</v>
      </c>
      <c r="G29">
        <f t="shared" si="5"/>
        <v>72000</v>
      </c>
      <c r="H29">
        <f>(IF(C29&lt;14,0,IF(C29&lt;21,'Vstupní hodnoty'!N$4,IF(C29&lt;28,'Vstupní hodnoty'!N$5,IF(C29&lt;35,'Vstupní hodnoty'!N$6,'Vstupní hodnoty'!N$6))))+IF(C29&lt;14,0,IF(AI$15&lt;2,'Vstupní hodnoty'!O$6,IF(Model!AI$3&lt;3,'Vstupní hodnoty'!O$5,IF(Model!AI$3&lt;4,'Vstupní hodnoty'!O$4,0))))+'Vstupní hodnoty'!P$5)*D29+IF(C29&lt;21, 0, (C29-20)*'Vstupní hodnoty'!$O$5*'Vstupní hodnoty'!$A$17)*Vícenáklady!D29</f>
        <v>97656.03</v>
      </c>
      <c r="I29" s="5">
        <f>('Vstupní hodnoty'!P$5+'Roční bonus alt 2'!D15)*D29+IF(C29&lt;21, 0, (C29-20)*'Vstupní hodnoty'!$O$5*'Vstupní hodnoty'!$A$17)*Vícenáklady!D29</f>
        <v>70616</v>
      </c>
      <c r="K29">
        <v>23</v>
      </c>
      <c r="L29">
        <v>2</v>
      </c>
      <c r="M29">
        <f>K29*(L29)*(0*0.25+ 'Vstupní hodnoty'!H$4*0.2+'Vstupní hodnoty'!H$5*0.25+'Vstupní hodnoty'!H$6*0.15+'Vstupní hodnoty'!H$7*0.1+'Vstupní hodnoty'!H$8*0.05)</f>
        <v>7976.4000000000005</v>
      </c>
      <c r="N29">
        <f>K29*(L29)*(0*L$3+'Vstupní hodnoty'!Q$4*L$4+'Vstupní hodnoty'!Q$5*$L$5+'Vstupní hodnoty'!Q$6*$L$6+'Vstupní hodnoty'!Q$7*$L$7+'Vstupní hodnoty'!Q$8*$L$8)</f>
        <v>9687.6</v>
      </c>
      <c r="O29">
        <f t="shared" si="6"/>
        <v>48000</v>
      </c>
      <c r="P29">
        <f>(IF(K29&lt;14,0,IF(K29&lt;21,'Vstupní hodnoty'!N$4,IF(K29&lt;28,'Vstupní hodnoty'!N$5,IF(K29&lt;35,'Vstupní hodnoty'!N$6,'Vstupní hodnoty'!N$6))))+IF(K29&lt;14,0,IF(AR$15&lt;2,'Vstupní hodnoty'!O$6,IF(Model!AR$3&lt;3,'Vstupní hodnoty'!O$5,IF(Model!AR$3&lt;4,'Vstupní hodnoty'!O$4,0))))+'Vstupní hodnoty'!P$5)*L29++IF(K29&lt;21, 0, (C29-20)*'Vstupní hodnoty'!$O$5*'Vstupní hodnoty'!$A$17)*Vícenáklady!L29</f>
        <v>65104.02</v>
      </c>
      <c r="Q29">
        <f>('Vstupní hodnoty'!P$5+'Roční bonus alt 2'!D15)*L29+IF(K29&lt;21, 0, (C29-20)*'Vstupní hodnoty'!$O$5*'Vstupní hodnoty'!$A$17)*Vícenáklady!L29</f>
        <v>47077.333333333328</v>
      </c>
    </row>
    <row r="30" spans="3:28" x14ac:dyDescent="0.2">
      <c r="C30">
        <v>24</v>
      </c>
      <c r="D30">
        <v>3</v>
      </c>
      <c r="E30">
        <f>C30*(D30)*(0*$L$3+ 'Vstupní hodnoty'!H$4*$L$4+'Vstupní hodnoty'!H$5*$L$5+'Vstupní hodnoty'!H$6*$L$6+'Vstupní hodnoty'!H$7*$L$7+'Vstupní hodnoty'!H$8*$L$8)</f>
        <v>12484.800000000001</v>
      </c>
      <c r="F30">
        <f>C30*(D30)*(0*0.25+'Vstupní hodnoty'!Q$4*0.2+'Vstupní hodnoty'!Q$5*0.25+'Vstupní hodnoty'!Q$6*0.15+'Vstupní hodnoty'!Q$7*0.1+'Vstupní hodnoty'!Q$8*0.05)</f>
        <v>15163.199999999999</v>
      </c>
      <c r="G30">
        <f t="shared" si="5"/>
        <v>72000</v>
      </c>
      <c r="H30">
        <f>(IF(C30&lt;14,0,IF(C30&lt;21,'Vstupní hodnoty'!N$4,IF(C30&lt;28,'Vstupní hodnoty'!N$5,IF(C30&lt;35,'Vstupní hodnoty'!N$6,'Vstupní hodnoty'!N$6))))+IF(C30&lt;14,0,IF(AI$15&lt;2,'Vstupní hodnoty'!O$6,IF(Model!AI$3&lt;3,'Vstupní hodnoty'!O$5,IF(Model!AI$3&lt;4,'Vstupní hodnoty'!O$4,0))))+'Vstupní hodnoty'!P$5)*D30+IF(C30&lt;21, 0, (C30-20)*'Vstupní hodnoty'!$O$5*'Vstupní hodnoty'!$A$17)*Vícenáklady!D30</f>
        <v>97968.03</v>
      </c>
      <c r="I30" s="5">
        <f>('Vstupní hodnoty'!P$5+'Roční bonus alt 2'!D16)*D30+IF(C30&lt;21, 0, (C30-20)*'Vstupní hodnoty'!$O$5*'Vstupní hodnoty'!$A$17)*Vícenáklady!D30</f>
        <v>75088</v>
      </c>
      <c r="K30">
        <v>24</v>
      </c>
      <c r="L30">
        <v>2</v>
      </c>
      <c r="M30">
        <f>K30*(L30)*(0*0.25+ 'Vstupní hodnoty'!H$4*0.2+'Vstupní hodnoty'!H$5*0.25+'Vstupní hodnoty'!H$6*0.15+'Vstupní hodnoty'!H$7*0.1+'Vstupní hodnoty'!H$8*0.05)</f>
        <v>8323.2000000000007</v>
      </c>
      <c r="N30">
        <f>K30*(L30)*(0*L$3+'Vstupní hodnoty'!Q$4*L$4+'Vstupní hodnoty'!Q$5*$L$5+'Vstupní hodnoty'!Q$6*$L$6+'Vstupní hodnoty'!Q$7*$L$7+'Vstupní hodnoty'!Q$8*$L$8)</f>
        <v>10108.799999999999</v>
      </c>
      <c r="O30">
        <f t="shared" si="6"/>
        <v>48000</v>
      </c>
      <c r="P30">
        <f>(IF(K30&lt;14,0,IF(K30&lt;21,'Vstupní hodnoty'!N$4,IF(K30&lt;28,'Vstupní hodnoty'!N$5,IF(K30&lt;35,'Vstupní hodnoty'!N$6,'Vstupní hodnoty'!N$6))))+IF(K30&lt;14,0,IF(AR$15&lt;2,'Vstupní hodnoty'!O$6,IF(Model!AR$3&lt;3,'Vstupní hodnoty'!O$5,IF(Model!AR$3&lt;4,'Vstupní hodnoty'!O$4,0))))+'Vstupní hodnoty'!P$5)*L30++IF(K30&lt;21, 0, (C30-20)*'Vstupní hodnoty'!$O$5*'Vstupní hodnoty'!$A$17)*Vícenáklady!L30</f>
        <v>65312.02</v>
      </c>
      <c r="Q30">
        <f>('Vstupní hodnoty'!P$5+'Roční bonus alt 2'!D16)*L30+IF(K30&lt;21, 0, (C30-20)*'Vstupní hodnoty'!$O$5*'Vstupní hodnoty'!$A$17)*Vícenáklady!L30</f>
        <v>50058.666666666672</v>
      </c>
    </row>
    <row r="31" spans="3:28" x14ac:dyDescent="0.2">
      <c r="C31">
        <v>25</v>
      </c>
      <c r="D31">
        <v>3</v>
      </c>
      <c r="E31">
        <f>C31*(D31)*(0*$L$3+ 'Vstupní hodnoty'!H$4*$L$4+'Vstupní hodnoty'!H$5*$L$5+'Vstupní hodnoty'!H$6*$L$6+'Vstupní hodnoty'!H$7*$L$7+'Vstupní hodnoty'!H$8*$L$8)</f>
        <v>13005</v>
      </c>
      <c r="F31">
        <f>C31*(D31)*(0*0.25+'Vstupní hodnoty'!Q$4*0.2+'Vstupní hodnoty'!Q$5*0.25+'Vstupní hodnoty'!Q$6*0.15+'Vstupní hodnoty'!Q$7*0.1+'Vstupní hodnoty'!Q$8*0.05)</f>
        <v>15795</v>
      </c>
      <c r="G31">
        <f t="shared" si="5"/>
        <v>72000</v>
      </c>
      <c r="H31">
        <f>(IF(C31&lt;14,0,IF(C31&lt;21,'Vstupní hodnoty'!N$4,IF(C31&lt;28,'Vstupní hodnoty'!N$5,IF(C31&lt;35,'Vstupní hodnoty'!N$6,'Vstupní hodnoty'!N$6))))+IF(C31&lt;14,0,IF(AI$15&lt;2,'Vstupní hodnoty'!O$6,IF(Model!AI$3&lt;3,'Vstupní hodnoty'!O$5,IF(Model!AI$3&lt;4,'Vstupní hodnoty'!O$4,0))))+'Vstupní hodnoty'!P$5)*D31+IF(C31&lt;21, 0, (C31-20)*'Vstupní hodnoty'!$O$5*'Vstupní hodnoty'!$A$17)*Vícenáklady!D31</f>
        <v>98280.03</v>
      </c>
      <c r="I31" s="5">
        <f>('Vstupní hodnoty'!P$5+'Roční bonus alt 2'!D17)*D31+IF(C31&lt;21, 0, (C31-20)*'Vstupní hodnoty'!$O$5*'Vstupní hodnoty'!$A$17)*Vícenáklady!D31</f>
        <v>79560.000000000015</v>
      </c>
      <c r="K31">
        <v>25</v>
      </c>
      <c r="L31">
        <v>2</v>
      </c>
      <c r="M31">
        <f>K31*(L31)*(0*0.25+ 'Vstupní hodnoty'!H$4*0.2+'Vstupní hodnoty'!H$5*0.25+'Vstupní hodnoty'!H$6*0.15+'Vstupní hodnoty'!H$7*0.1+'Vstupní hodnoty'!H$8*0.05)</f>
        <v>8670</v>
      </c>
      <c r="N31">
        <f>K31*(L31)*(0*L$3+'Vstupní hodnoty'!Q$4*L$4+'Vstupní hodnoty'!Q$5*$L$5+'Vstupní hodnoty'!Q$6*$L$6+'Vstupní hodnoty'!Q$7*$L$7+'Vstupní hodnoty'!Q$8*$L$8)</f>
        <v>10530</v>
      </c>
      <c r="O31">
        <f t="shared" si="6"/>
        <v>48000</v>
      </c>
      <c r="P31">
        <f>(IF(K31&lt;14,0,IF(K31&lt;21,'Vstupní hodnoty'!N$4,IF(K31&lt;28,'Vstupní hodnoty'!N$5,IF(K31&lt;35,'Vstupní hodnoty'!N$6,'Vstupní hodnoty'!N$6))))+IF(K31&lt;14,0,IF(AR$15&lt;2,'Vstupní hodnoty'!O$6,IF(Model!AR$3&lt;3,'Vstupní hodnoty'!O$5,IF(Model!AR$3&lt;4,'Vstupní hodnoty'!O$4,0))))+'Vstupní hodnoty'!P$5)*L31++IF(K31&lt;21, 0, (C31-20)*'Vstupní hodnoty'!$O$5*'Vstupní hodnoty'!$A$17)*Vícenáklady!L31</f>
        <v>65520.02</v>
      </c>
      <c r="Q31">
        <f>('Vstupní hodnoty'!P$5+'Roční bonus alt 2'!D17)*L31+IF(K31&lt;21, 0, (C31-20)*'Vstupní hodnoty'!$O$5*'Vstupní hodnoty'!$A$17)*Vícenáklady!L31</f>
        <v>53040.000000000007</v>
      </c>
    </row>
    <row r="32" spans="3:28" x14ac:dyDescent="0.2">
      <c r="C32">
        <v>26</v>
      </c>
      <c r="D32">
        <v>3</v>
      </c>
      <c r="E32">
        <f>C32*(D32)*(0*$L$3+ 'Vstupní hodnoty'!H$4*$L$4+'Vstupní hodnoty'!H$5*$L$5+'Vstupní hodnoty'!H$6*$L$6+'Vstupní hodnoty'!H$7*$L$7+'Vstupní hodnoty'!H$8*$L$8)</f>
        <v>13525.2</v>
      </c>
      <c r="F32">
        <f>C32*(D32)*(0*0.25+'Vstupní hodnoty'!Q$4*0.2+'Vstupní hodnoty'!Q$5*0.25+'Vstupní hodnoty'!Q$6*0.15+'Vstupní hodnoty'!Q$7*0.1+'Vstupní hodnoty'!Q$8*0.05)</f>
        <v>16426.8</v>
      </c>
      <c r="G32">
        <f t="shared" si="5"/>
        <v>72000</v>
      </c>
      <c r="H32">
        <f>(IF(C32&lt;14,0,IF(C32&lt;21,'Vstupní hodnoty'!N$4,IF(C32&lt;28,'Vstupní hodnoty'!N$5,IF(C32&lt;35,'Vstupní hodnoty'!N$6,'Vstupní hodnoty'!N$6))))+IF(C32&lt;14,0,IF(AI$15&lt;2,'Vstupní hodnoty'!O$6,IF(Model!AI$3&lt;3,'Vstupní hodnoty'!O$5,IF(Model!AI$3&lt;4,'Vstupní hodnoty'!O$4,0))))+'Vstupní hodnoty'!P$5)*D32+IF(C32&lt;21, 0, (C32-20)*'Vstupní hodnoty'!$O$5*'Vstupní hodnoty'!$A$17)*Vícenáklady!D32</f>
        <v>98592.03</v>
      </c>
      <c r="I32" s="5">
        <f>('Vstupní hodnoty'!P$5+'Roční bonus alt 2'!D18)*D32+IF(C32&lt;21, 0, (C32-20)*'Vstupní hodnoty'!$O$5*'Vstupní hodnoty'!$A$17)*Vícenáklady!D32</f>
        <v>84032</v>
      </c>
      <c r="K32">
        <v>26</v>
      </c>
      <c r="L32">
        <v>2</v>
      </c>
      <c r="M32">
        <f>K32*(L32)*(0*0.25+ 'Vstupní hodnoty'!H$4*0.2+'Vstupní hodnoty'!H$5*0.25+'Vstupní hodnoty'!H$6*0.15+'Vstupní hodnoty'!H$7*0.1+'Vstupní hodnoty'!H$8*0.05)</f>
        <v>9016.8000000000011</v>
      </c>
      <c r="N32">
        <f>K32*(L32)*(0*L$3+'Vstupní hodnoty'!Q$4*L$4+'Vstupní hodnoty'!Q$5*$L$5+'Vstupní hodnoty'!Q$6*$L$6+'Vstupní hodnoty'!Q$7*$L$7+'Vstupní hodnoty'!Q$8*$L$8)</f>
        <v>10951.199999999999</v>
      </c>
      <c r="O32">
        <f t="shared" si="6"/>
        <v>48000</v>
      </c>
      <c r="P32">
        <f>(IF(K32&lt;14,0,IF(K32&lt;21,'Vstupní hodnoty'!N$4,IF(K32&lt;28,'Vstupní hodnoty'!N$5,IF(K32&lt;35,'Vstupní hodnoty'!N$6,'Vstupní hodnoty'!N$6))))+IF(K32&lt;14,0,IF(AR$15&lt;2,'Vstupní hodnoty'!O$6,IF(Model!AR$3&lt;3,'Vstupní hodnoty'!O$5,IF(Model!AR$3&lt;4,'Vstupní hodnoty'!O$4,0))))+'Vstupní hodnoty'!P$5)*L32++IF(K32&lt;21, 0, (C32-20)*'Vstupní hodnoty'!$O$5*'Vstupní hodnoty'!$A$17)*Vícenáklady!L32</f>
        <v>65728.01999999999</v>
      </c>
      <c r="Q32">
        <f>('Vstupní hodnoty'!P$5+'Roční bonus alt 2'!D18)*L32+IF(K32&lt;21, 0, (C32-20)*'Vstupní hodnoty'!$O$5*'Vstupní hodnoty'!$A$17)*Vícenáklady!L32</f>
        <v>56021.333333333336</v>
      </c>
    </row>
    <row r="33" spans="3:17" x14ac:dyDescent="0.2">
      <c r="C33">
        <v>27</v>
      </c>
      <c r="D33">
        <v>3</v>
      </c>
      <c r="E33">
        <f>C33*(D33)*(0*$L$3+ 'Vstupní hodnoty'!H$4*$L$4+'Vstupní hodnoty'!H$5*$L$5+'Vstupní hodnoty'!H$6*$L$6+'Vstupní hodnoty'!H$7*$L$7+'Vstupní hodnoty'!H$8*$L$8)</f>
        <v>14045.4</v>
      </c>
      <c r="F33">
        <f>C33*(D33)*(0*0.25+'Vstupní hodnoty'!Q$4*0.2+'Vstupní hodnoty'!Q$5*0.25+'Vstupní hodnoty'!Q$6*0.15+'Vstupní hodnoty'!Q$7*0.1+'Vstupní hodnoty'!Q$8*0.05)</f>
        <v>17058.599999999999</v>
      </c>
      <c r="G33">
        <f t="shared" si="5"/>
        <v>72000</v>
      </c>
      <c r="H33">
        <f>(IF(C33&lt;14,0,IF(C33&lt;21,'Vstupní hodnoty'!N$4,IF(C33&lt;28,'Vstupní hodnoty'!N$5,IF(C33&lt;35,'Vstupní hodnoty'!N$6,'Vstupní hodnoty'!N$6))))+IF(C33&lt;14,0,IF(AI$15&lt;2,'Vstupní hodnoty'!O$6,IF(Model!AI$3&lt;3,'Vstupní hodnoty'!O$5,IF(Model!AI$3&lt;4,'Vstupní hodnoty'!O$4,0))))+'Vstupní hodnoty'!P$5)*D33+IF(C33&lt;21, 0, (C33-20)*'Vstupní hodnoty'!$O$5*'Vstupní hodnoty'!$A$17)*Vícenáklady!D33</f>
        <v>98904.03</v>
      </c>
      <c r="I33" s="5">
        <f>('Vstupní hodnoty'!P$5+'Roční bonus alt 2'!D19)*D33+IF(C33&lt;21, 0, (C33-20)*'Vstupní hodnoty'!$O$5*'Vstupní hodnoty'!$A$17)*Vícenáklady!D33</f>
        <v>88504</v>
      </c>
      <c r="K33">
        <v>27</v>
      </c>
      <c r="L33">
        <v>2</v>
      </c>
      <c r="M33">
        <f>K33*(L33)*(0*0.25+ 'Vstupní hodnoty'!H$4*0.2+'Vstupní hodnoty'!H$5*0.25+'Vstupní hodnoty'!H$6*0.15+'Vstupní hodnoty'!H$7*0.1+'Vstupní hodnoty'!H$8*0.05)</f>
        <v>9363.6</v>
      </c>
      <c r="N33">
        <f>K33*(L33)*(0*L$3+'Vstupní hodnoty'!Q$4*L$4+'Vstupní hodnoty'!Q$5*$L$5+'Vstupní hodnoty'!Q$6*$L$6+'Vstupní hodnoty'!Q$7*$L$7+'Vstupní hodnoty'!Q$8*$L$8)</f>
        <v>11372.4</v>
      </c>
      <c r="O33">
        <f t="shared" si="6"/>
        <v>48000</v>
      </c>
      <c r="P33">
        <f>(IF(K33&lt;14,0,IF(K33&lt;21,'Vstupní hodnoty'!N$4,IF(K33&lt;28,'Vstupní hodnoty'!N$5,IF(K33&lt;35,'Vstupní hodnoty'!N$6,'Vstupní hodnoty'!N$6))))+IF(K33&lt;14,0,IF(AR$15&lt;2,'Vstupní hodnoty'!O$6,IF(Model!AR$3&lt;3,'Vstupní hodnoty'!O$5,IF(Model!AR$3&lt;4,'Vstupní hodnoty'!O$4,0))))+'Vstupní hodnoty'!P$5)*L33++IF(K33&lt;21, 0, (C33-20)*'Vstupní hodnoty'!$O$5*'Vstupní hodnoty'!$A$17)*Vícenáklady!L33</f>
        <v>65936.02</v>
      </c>
      <c r="Q33">
        <f>('Vstupní hodnoty'!P$5+'Roční bonus alt 2'!D19)*L33+IF(K33&lt;21, 0, (C33-20)*'Vstupní hodnoty'!$O$5*'Vstupní hodnoty'!$A$17)*Vícenáklady!L33</f>
        <v>59002.666666666672</v>
      </c>
    </row>
    <row r="34" spans="3:17" x14ac:dyDescent="0.2">
      <c r="C34">
        <v>28</v>
      </c>
      <c r="D34">
        <v>2</v>
      </c>
      <c r="E34">
        <f>C34*(D34)*(0*$L$3+ 'Vstupní hodnoty'!H$4*$L$4+'Vstupní hodnoty'!H$5*$L$5+'Vstupní hodnoty'!H$6*$L$6+'Vstupní hodnoty'!H$7*$L$7+'Vstupní hodnoty'!H$8*$L$8)</f>
        <v>9710.4</v>
      </c>
      <c r="F34">
        <f>C34*(D34)*(0*0.25+'Vstupní hodnoty'!Q$4*0.2+'Vstupní hodnoty'!Q$5*0.25+'Vstupní hodnoty'!Q$6*0.15+'Vstupní hodnoty'!Q$7*0.1+'Vstupní hodnoty'!Q$8*0.05)</f>
        <v>11793.6</v>
      </c>
      <c r="G34">
        <f t="shared" si="5"/>
        <v>48000</v>
      </c>
      <c r="H34">
        <f>(IF(C34&lt;14,0,IF(C34&lt;21,'Vstupní hodnoty'!N$4,IF(C34&lt;28,'Vstupní hodnoty'!N$5,IF(C34&lt;35,'Vstupní hodnoty'!N$6,'Vstupní hodnoty'!N$6))))+IF(C34&lt;14,0,IF(AI$15&lt;2,'Vstupní hodnoty'!O$6,IF(Model!AI$3&lt;3,'Vstupní hodnoty'!O$5,IF(Model!AI$3&lt;4,'Vstupní hodnoty'!O$4,0))))+'Vstupní hodnoty'!P$5)*D34+IF(C34&lt;21, 0, (C34-20)*'Vstupní hodnoty'!$O$5*'Vstupní hodnoty'!$A$17)*Vícenáklady!D34</f>
        <v>86944.02</v>
      </c>
      <c r="I34" s="5">
        <f>('Vstupní hodnoty'!P$5+'Roční bonus alt 2'!D20)*D34+IF(C34&lt;21, 0, (C34-20)*'Vstupní hodnoty'!$O$5*'Vstupní hodnoty'!$A$17)*Vícenáklady!D34</f>
        <v>61984</v>
      </c>
      <c r="K34">
        <v>28</v>
      </c>
      <c r="L34">
        <v>3</v>
      </c>
      <c r="M34">
        <f>K34*(L34)*(0*0.25+ 'Vstupní hodnoty'!H$4*0.2+'Vstupní hodnoty'!H$5*0.25+'Vstupní hodnoty'!H$6*0.15+'Vstupní hodnoty'!H$7*0.1+'Vstupní hodnoty'!H$8*0.05)</f>
        <v>14565.6</v>
      </c>
      <c r="N34">
        <f>K34*(L34)*(0*L$3+'Vstupní hodnoty'!Q$4*L$4+'Vstupní hodnoty'!Q$5*$L$5+'Vstupní hodnoty'!Q$6*$L$6+'Vstupní hodnoty'!Q$7*$L$7+'Vstupní hodnoty'!Q$8*$L$8)</f>
        <v>17690.399999999998</v>
      </c>
      <c r="O34">
        <f t="shared" si="6"/>
        <v>72000</v>
      </c>
      <c r="P34">
        <f>(IF(K34&lt;14,0,IF(K34&lt;21,'Vstupní hodnoty'!N$4,IF(K34&lt;28,'Vstupní hodnoty'!N$5,IF(K34&lt;35,'Vstupní hodnoty'!N$6,'Vstupní hodnoty'!N$6))))+IF(K34&lt;14,0,IF(AR$15&lt;2,'Vstupní hodnoty'!O$6,IF(Model!AR$3&lt;3,'Vstupní hodnoty'!O$5,IF(Model!AR$3&lt;4,'Vstupní hodnoty'!O$4,0))))+'Vstupní hodnoty'!P$5)*L34++IF(K34&lt;21, 0, (C34-20)*'Vstupní hodnoty'!$O$5*'Vstupní hodnoty'!$A$17)*Vícenáklady!L34</f>
        <v>130416.03</v>
      </c>
      <c r="Q34">
        <f>('Vstupní hodnoty'!P$5+'Roční bonus alt 2'!D20)*L34+IF(K34&lt;21, 0, (C34-20)*'Vstupní hodnoty'!$O$5*'Vstupní hodnoty'!$A$17)*Vícenáklady!L34</f>
        <v>92976</v>
      </c>
    </row>
    <row r="35" spans="3:17" x14ac:dyDescent="0.2">
      <c r="C35">
        <v>29</v>
      </c>
      <c r="D35">
        <v>2</v>
      </c>
      <c r="E35">
        <f>C35*(D35)*(0*$L$3+ 'Vstupní hodnoty'!H$4*$L$4+'Vstupní hodnoty'!H$5*$L$5+'Vstupní hodnoty'!H$6*$L$6+'Vstupní hodnoty'!H$7*$L$7+'Vstupní hodnoty'!H$8*$L$8)</f>
        <v>10057.200000000001</v>
      </c>
      <c r="F35">
        <f>C35*(D35)*(0*0.25+'Vstupní hodnoty'!Q$4*0.2+'Vstupní hodnoty'!Q$5*0.25+'Vstupní hodnoty'!Q$6*0.15+'Vstupní hodnoty'!Q$7*0.1+'Vstupní hodnoty'!Q$8*0.05)</f>
        <v>12214.8</v>
      </c>
      <c r="G35">
        <f t="shared" si="5"/>
        <v>48000</v>
      </c>
      <c r="H35">
        <f>(IF(C35&lt;14,0,IF(C35&lt;21,'Vstupní hodnoty'!N$4,IF(C35&lt;28,'Vstupní hodnoty'!N$5,IF(C35&lt;35,'Vstupní hodnoty'!N$6,'Vstupní hodnoty'!N$6))))+IF(C35&lt;14,0,IF(AI$15&lt;2,'Vstupní hodnoty'!O$6,IF(Model!AI$3&lt;3,'Vstupní hodnoty'!O$5,IF(Model!AI$3&lt;4,'Vstupní hodnoty'!O$4,0))))+'Vstupní hodnoty'!P$5)*D35+IF(C35&lt;21, 0, (C35-20)*'Vstupní hodnoty'!$O$5*'Vstupní hodnoty'!$A$17)*Vícenáklady!D35</f>
        <v>87152.02</v>
      </c>
      <c r="I35" s="5">
        <f>('Vstupní hodnoty'!P$5+'Roční bonus alt 2'!D21)*D35+IF(C35&lt;21, 0, (C35-20)*'Vstupní hodnoty'!$O$5*'Vstupní hodnoty'!$A$17)*Vícenáklady!D35</f>
        <v>64965.333333333328</v>
      </c>
      <c r="K35">
        <v>29</v>
      </c>
      <c r="L35">
        <v>3</v>
      </c>
      <c r="M35">
        <f>K35*(L35)*(0*0.25+ 'Vstupní hodnoty'!H$4*0.2+'Vstupní hodnoty'!H$5*0.25+'Vstupní hodnoty'!H$6*0.15+'Vstupní hodnoty'!H$7*0.1+'Vstupní hodnoty'!H$8*0.05)</f>
        <v>15085.800000000001</v>
      </c>
      <c r="N35">
        <f>K35*(L35)*(0*L$3+'Vstupní hodnoty'!Q$4*L$4+'Vstupní hodnoty'!Q$5*$L$5+'Vstupní hodnoty'!Q$6*$L$6+'Vstupní hodnoty'!Q$7*$L$7+'Vstupní hodnoty'!Q$8*$L$8)</f>
        <v>18322.2</v>
      </c>
      <c r="O35">
        <f t="shared" si="6"/>
        <v>72000</v>
      </c>
      <c r="P35">
        <f>(IF(K35&lt;14,0,IF(K35&lt;21,'Vstupní hodnoty'!N$4,IF(K35&lt;28,'Vstupní hodnoty'!N$5,IF(K35&lt;35,'Vstupní hodnoty'!N$6,'Vstupní hodnoty'!N$6))))+IF(K35&lt;14,0,IF(AR$15&lt;2,'Vstupní hodnoty'!O$6,IF(Model!AR$3&lt;3,'Vstupní hodnoty'!O$5,IF(Model!AR$3&lt;4,'Vstupní hodnoty'!O$4,0))))+'Vstupní hodnoty'!P$5)*L35++IF(K35&lt;21, 0, (C35-20)*'Vstupní hodnoty'!$O$5*'Vstupní hodnoty'!$A$17)*Vícenáklady!L35</f>
        <v>130728.03</v>
      </c>
      <c r="Q35">
        <f>('Vstupní hodnoty'!P$5+'Roční bonus alt 2'!D21)*L35+IF(K35&lt;21, 0, (C35-20)*'Vstupní hodnoty'!$O$5*'Vstupní hodnoty'!$A$17)*Vícenáklady!L35</f>
        <v>97448</v>
      </c>
    </row>
    <row r="36" spans="3:17" x14ac:dyDescent="0.2">
      <c r="C36">
        <v>30</v>
      </c>
      <c r="D36">
        <v>2</v>
      </c>
      <c r="E36">
        <f>C36*(D36)*(0*$L$3+ 'Vstupní hodnoty'!H$4*$L$4+'Vstupní hodnoty'!H$5*$L$5+'Vstupní hodnoty'!H$6*$L$6+'Vstupní hodnoty'!H$7*$L$7+'Vstupní hodnoty'!H$8*$L$8)</f>
        <v>10404</v>
      </c>
      <c r="F36">
        <f>C36*(D36)*(0*0.25+'Vstupní hodnoty'!Q$4*0.2+'Vstupní hodnoty'!Q$5*0.25+'Vstupní hodnoty'!Q$6*0.15+'Vstupní hodnoty'!Q$7*0.1+'Vstupní hodnoty'!Q$8*0.05)</f>
        <v>12636</v>
      </c>
      <c r="G36">
        <f t="shared" si="5"/>
        <v>48000</v>
      </c>
      <c r="H36">
        <f>(IF(C36&lt;14,0,IF(C36&lt;21,'Vstupní hodnoty'!N$4,IF(C36&lt;28,'Vstupní hodnoty'!N$5,IF(C36&lt;35,'Vstupní hodnoty'!N$6,'Vstupní hodnoty'!N$6))))+IF(C36&lt;14,0,IF(AI$15&lt;2,'Vstupní hodnoty'!O$6,IF(Model!AI$3&lt;3,'Vstupní hodnoty'!O$5,IF(Model!AI$3&lt;4,'Vstupní hodnoty'!O$4,0))))+'Vstupní hodnoty'!P$5)*D36+IF(C36&lt;21, 0, (C36-20)*'Vstupní hodnoty'!$O$5*'Vstupní hodnoty'!$A$17)*Vícenáklady!D36</f>
        <v>87360.02</v>
      </c>
      <c r="I36" s="5">
        <f>('Vstupní hodnoty'!P$5+'Roční bonus alt 2'!D22)*D36+IF(C36&lt;21, 0, (C36-20)*'Vstupní hodnoty'!$O$5*'Vstupní hodnoty'!$A$17)*Vícenáklady!D36</f>
        <v>67946.666666666672</v>
      </c>
      <c r="K36">
        <v>30</v>
      </c>
      <c r="L36">
        <v>3</v>
      </c>
      <c r="M36">
        <f>K36*(L36)*(0*0.25+ 'Vstupní hodnoty'!H$4*0.2+'Vstupní hodnoty'!H$5*0.25+'Vstupní hodnoty'!H$6*0.15+'Vstupní hodnoty'!H$7*0.1+'Vstupní hodnoty'!H$8*0.05)</f>
        <v>15606</v>
      </c>
      <c r="N36">
        <f>K36*(L36)*(0*L$3+'Vstupní hodnoty'!Q$4*L$4+'Vstupní hodnoty'!Q$5*$L$5+'Vstupní hodnoty'!Q$6*$L$6+'Vstupní hodnoty'!Q$7*$L$7+'Vstupní hodnoty'!Q$8*$L$8)</f>
        <v>18954</v>
      </c>
      <c r="O36">
        <f t="shared" si="6"/>
        <v>72000</v>
      </c>
      <c r="P36">
        <f>(IF(K36&lt;14,0,IF(K36&lt;21,'Vstupní hodnoty'!N$4,IF(K36&lt;28,'Vstupní hodnoty'!N$5,IF(K36&lt;35,'Vstupní hodnoty'!N$6,'Vstupní hodnoty'!N$6))))+IF(K36&lt;14,0,IF(AR$15&lt;2,'Vstupní hodnoty'!O$6,IF(Model!AR$3&lt;3,'Vstupní hodnoty'!O$5,IF(Model!AR$3&lt;4,'Vstupní hodnoty'!O$4,0))))+'Vstupní hodnoty'!P$5)*L36++IF(K36&lt;21, 0, (C36-20)*'Vstupní hodnoty'!$O$5*'Vstupní hodnoty'!$A$17)*Vícenáklady!L36</f>
        <v>131040.03</v>
      </c>
      <c r="Q36">
        <f>('Vstupní hodnoty'!P$5+'Roční bonus alt 2'!D22)*L36+IF(K36&lt;21, 0, (C36-20)*'Vstupní hodnoty'!$O$5*'Vstupní hodnoty'!$A$17)*Vícenáklady!L36</f>
        <v>101920</v>
      </c>
    </row>
    <row r="37" spans="3:17" x14ac:dyDescent="0.2">
      <c r="C37">
        <v>31</v>
      </c>
      <c r="D37">
        <v>2</v>
      </c>
      <c r="E37">
        <f>C37*(D37)*(0*$L$3+ 'Vstupní hodnoty'!H$4*$L$4+'Vstupní hodnoty'!H$5*$L$5+'Vstupní hodnoty'!H$6*$L$6+'Vstupní hodnoty'!H$7*$L$7+'Vstupní hodnoty'!H$8*$L$8)</f>
        <v>10750.800000000001</v>
      </c>
      <c r="F37">
        <f>C37*(D37)*(0*0.25+'Vstupní hodnoty'!Q$4*0.2+'Vstupní hodnoty'!Q$5*0.25+'Vstupní hodnoty'!Q$6*0.15+'Vstupní hodnoty'!Q$7*0.1+'Vstupní hodnoty'!Q$8*0.05)</f>
        <v>13057.199999999999</v>
      </c>
      <c r="G37">
        <f t="shared" si="5"/>
        <v>48000</v>
      </c>
      <c r="H37">
        <f>(IF(C37&lt;14,0,IF(C37&lt;21,'Vstupní hodnoty'!N$4,IF(C37&lt;28,'Vstupní hodnoty'!N$5,IF(C37&lt;35,'Vstupní hodnoty'!N$6,'Vstupní hodnoty'!N$6))))+IF(C37&lt;14,0,IF(AI$15&lt;2,'Vstupní hodnoty'!O$6,IF(Model!AI$3&lt;3,'Vstupní hodnoty'!O$5,IF(Model!AI$3&lt;4,'Vstupní hodnoty'!O$4,0))))+'Vstupní hodnoty'!P$5)*D37+IF(C37&lt;21, 0, (C37-20)*'Vstupní hodnoty'!$O$5*'Vstupní hodnoty'!$A$17)*Vícenáklady!D37</f>
        <v>87568.02</v>
      </c>
      <c r="I37" s="5">
        <f>('Vstupní hodnoty'!P$5+'Roční bonus alt 2'!D23)*D37+IF(C37&lt;21, 0, (C37-20)*'Vstupní hodnoty'!$O$5*'Vstupní hodnoty'!$A$17)*Vícenáklady!D37</f>
        <v>70928</v>
      </c>
      <c r="K37">
        <v>31</v>
      </c>
      <c r="L37">
        <v>3</v>
      </c>
      <c r="M37">
        <f>K37*(L37)*(0*0.25+ 'Vstupní hodnoty'!H$4*0.2+'Vstupní hodnoty'!H$5*0.25+'Vstupní hodnoty'!H$6*0.15+'Vstupní hodnoty'!H$7*0.1+'Vstupní hodnoty'!H$8*0.05)</f>
        <v>16126.2</v>
      </c>
      <c r="N37">
        <f>K37*(L37)*(0*L$3+'Vstupní hodnoty'!Q$4*L$4+'Vstupní hodnoty'!Q$5*$L$5+'Vstupní hodnoty'!Q$6*$L$6+'Vstupní hodnoty'!Q$7*$L$7+'Vstupní hodnoty'!Q$8*$L$8)</f>
        <v>19585.8</v>
      </c>
      <c r="O37">
        <f t="shared" si="6"/>
        <v>72000</v>
      </c>
      <c r="P37">
        <f>(IF(K37&lt;14,0,IF(K37&lt;21,'Vstupní hodnoty'!N$4,IF(K37&lt;28,'Vstupní hodnoty'!N$5,IF(K37&lt;35,'Vstupní hodnoty'!N$6,'Vstupní hodnoty'!N$6))))+IF(K37&lt;14,0,IF(AR$15&lt;2,'Vstupní hodnoty'!O$6,IF(Model!AR$3&lt;3,'Vstupní hodnoty'!O$5,IF(Model!AR$3&lt;4,'Vstupní hodnoty'!O$4,0))))+'Vstupní hodnoty'!P$5)*L37++IF(K37&lt;21, 0, (C37-20)*'Vstupní hodnoty'!$O$5*'Vstupní hodnoty'!$A$17)*Vícenáklady!L37</f>
        <v>131352.03</v>
      </c>
      <c r="Q37">
        <f>('Vstupní hodnoty'!P$5+'Roční bonus alt 2'!D23)*L37+IF(K37&lt;21, 0, (C37-20)*'Vstupní hodnoty'!$O$5*'Vstupní hodnoty'!$A$17)*Vícenáklady!L37</f>
        <v>106392</v>
      </c>
    </row>
    <row r="38" spans="3:17" x14ac:dyDescent="0.2">
      <c r="C38">
        <v>32</v>
      </c>
      <c r="D38">
        <v>2</v>
      </c>
      <c r="E38">
        <f>C38*(D38)*(0*$L$3+ 'Vstupní hodnoty'!H$4*$L$4+'Vstupní hodnoty'!H$5*$L$5+'Vstupní hodnoty'!H$6*$L$6+'Vstupní hodnoty'!H$7*$L$7+'Vstupní hodnoty'!H$8*$L$8)</f>
        <v>11097.6</v>
      </c>
      <c r="F38">
        <f>C38*(D38)*(0*0.25+'Vstupní hodnoty'!Q$4*0.2+'Vstupní hodnoty'!Q$5*0.25+'Vstupní hodnoty'!Q$6*0.15+'Vstupní hodnoty'!Q$7*0.1+'Vstupní hodnoty'!Q$8*0.05)</f>
        <v>13478.4</v>
      </c>
      <c r="G38">
        <f t="shared" si="5"/>
        <v>48000</v>
      </c>
      <c r="H38">
        <f>(IF(C38&lt;14,0,IF(C38&lt;21,'Vstupní hodnoty'!N$4,IF(C38&lt;28,'Vstupní hodnoty'!N$5,IF(C38&lt;35,'Vstupní hodnoty'!N$6,'Vstupní hodnoty'!N$6))))+IF(C38&lt;14,0,IF(AI$15&lt;2,'Vstupní hodnoty'!O$6,IF(Model!AI$3&lt;3,'Vstupní hodnoty'!O$5,IF(Model!AI$3&lt;4,'Vstupní hodnoty'!O$4,0))))+'Vstupní hodnoty'!P$5)*D38+IF(C38&lt;21, 0, (C38-20)*'Vstupní hodnoty'!$O$5*'Vstupní hodnoty'!$A$17)*Vícenáklady!D38</f>
        <v>87776.02</v>
      </c>
      <c r="I38" s="5">
        <f>('Vstupní hodnoty'!P$5+'Roční bonus alt 2'!D24)*D38+IF(C38&lt;21, 0, (C38-20)*'Vstupní hodnoty'!$O$5*'Vstupní hodnoty'!$A$17)*Vícenáklady!D38</f>
        <v>73909.333333333343</v>
      </c>
      <c r="K38">
        <v>32</v>
      </c>
      <c r="L38">
        <v>3</v>
      </c>
      <c r="M38">
        <f>K38*(L38)*(0*0.25+ 'Vstupní hodnoty'!H$4*0.2+'Vstupní hodnoty'!H$5*0.25+'Vstupní hodnoty'!H$6*0.15+'Vstupní hodnoty'!H$7*0.1+'Vstupní hodnoty'!H$8*0.05)</f>
        <v>16646.400000000001</v>
      </c>
      <c r="N38">
        <f>K38*(L38)*(0*L$3+'Vstupní hodnoty'!Q$4*L$4+'Vstupní hodnoty'!Q$5*$L$5+'Vstupní hodnoty'!Q$6*$L$6+'Vstupní hodnoty'!Q$7*$L$7+'Vstupní hodnoty'!Q$8*$L$8)</f>
        <v>20217.599999999999</v>
      </c>
      <c r="O38">
        <f t="shared" si="6"/>
        <v>72000</v>
      </c>
      <c r="P38">
        <f>(IF(K38&lt;14,0,IF(K38&lt;21,'Vstupní hodnoty'!N$4,IF(K38&lt;28,'Vstupní hodnoty'!N$5,IF(K38&lt;35,'Vstupní hodnoty'!N$6,'Vstupní hodnoty'!N$6))))+IF(K38&lt;14,0,IF(AR$15&lt;2,'Vstupní hodnoty'!O$6,IF(Model!AR$3&lt;3,'Vstupní hodnoty'!O$5,IF(Model!AR$3&lt;4,'Vstupní hodnoty'!O$4,0))))+'Vstupní hodnoty'!P$5)*L38++IF(K38&lt;21, 0, (C38-20)*'Vstupní hodnoty'!$O$5*'Vstupní hodnoty'!$A$17)*Vícenáklady!L38</f>
        <v>131664.03</v>
      </c>
      <c r="Q38">
        <f>('Vstupní hodnoty'!P$5+'Roční bonus alt 2'!D24)*L38+IF(K38&lt;21, 0, (C38-20)*'Vstupní hodnoty'!$O$5*'Vstupní hodnoty'!$A$17)*Vícenáklady!L38</f>
        <v>110864.00000000001</v>
      </c>
    </row>
    <row r="39" spans="3:17" x14ac:dyDescent="0.2">
      <c r="C39">
        <v>33</v>
      </c>
      <c r="D39">
        <v>2</v>
      </c>
      <c r="E39">
        <f>C39*(D39)*(0*$L$3+ 'Vstupní hodnoty'!H$4*$L$4+'Vstupní hodnoty'!H$5*$L$5+'Vstupní hodnoty'!H$6*$L$6+'Vstupní hodnoty'!H$7*$L$7+'Vstupní hodnoty'!H$8*$L$8)</f>
        <v>11444.4</v>
      </c>
      <c r="F39">
        <f>C39*(D39)*(0*0.25+'Vstupní hodnoty'!Q$4*0.2+'Vstupní hodnoty'!Q$5*0.25+'Vstupní hodnoty'!Q$6*0.15+'Vstupní hodnoty'!Q$7*0.1+'Vstupní hodnoty'!Q$8*0.05)</f>
        <v>13899.6</v>
      </c>
      <c r="G39">
        <f t="shared" si="5"/>
        <v>48000</v>
      </c>
      <c r="H39">
        <f>(IF(C39&lt;14,0,IF(C39&lt;21,'Vstupní hodnoty'!N$4,IF(C39&lt;28,'Vstupní hodnoty'!N$5,IF(C39&lt;35,'Vstupní hodnoty'!N$6,'Vstupní hodnoty'!N$6))))+IF(C39&lt;14,0,IF(AI$15&lt;2,'Vstupní hodnoty'!O$6,IF(Model!AI$3&lt;3,'Vstupní hodnoty'!O$5,IF(Model!AI$3&lt;4,'Vstupní hodnoty'!O$4,0))))+'Vstupní hodnoty'!P$5)*D39+IF(C39&lt;21, 0, (C39-20)*'Vstupní hodnoty'!$O$5*'Vstupní hodnoty'!$A$17)*Vícenáklady!D39</f>
        <v>87984.02</v>
      </c>
      <c r="I39" s="5">
        <f>('Vstupní hodnoty'!P$5+'Roční bonus alt 2'!D25)*D39+IF(C39&lt;21, 0, (C39-20)*'Vstupní hodnoty'!$O$5*'Vstupní hodnoty'!$A$17)*Vícenáklady!D39</f>
        <v>76890.666666666672</v>
      </c>
      <c r="K39">
        <v>33</v>
      </c>
      <c r="L39">
        <v>3</v>
      </c>
      <c r="M39">
        <f>K39*(L39)*(0*0.25+ 'Vstupní hodnoty'!H$4*0.2+'Vstupní hodnoty'!H$5*0.25+'Vstupní hodnoty'!H$6*0.15+'Vstupní hodnoty'!H$7*0.1+'Vstupní hodnoty'!H$8*0.05)</f>
        <v>17166.600000000002</v>
      </c>
      <c r="N39">
        <f>K39*(L39)*(0*L$3+'Vstupní hodnoty'!Q$4*L$4+'Vstupní hodnoty'!Q$5*$L$5+'Vstupní hodnoty'!Q$6*$L$6+'Vstupní hodnoty'!Q$7*$L$7+'Vstupní hodnoty'!Q$8*$L$8)</f>
        <v>20849.399999999998</v>
      </c>
      <c r="O39">
        <f t="shared" si="6"/>
        <v>72000</v>
      </c>
      <c r="P39">
        <f>(IF(K39&lt;14,0,IF(K39&lt;21,'Vstupní hodnoty'!N$4,IF(K39&lt;28,'Vstupní hodnoty'!N$5,IF(K39&lt;35,'Vstupní hodnoty'!N$6,'Vstupní hodnoty'!N$6))))+IF(K39&lt;14,0,IF(AR$15&lt;2,'Vstupní hodnoty'!O$6,IF(Model!AR$3&lt;3,'Vstupní hodnoty'!O$5,IF(Model!AR$3&lt;4,'Vstupní hodnoty'!O$4,0))))+'Vstupní hodnoty'!P$5)*L39++IF(K39&lt;21, 0, (C39-20)*'Vstupní hodnoty'!$O$5*'Vstupní hodnoty'!$A$17)*Vícenáklady!L39</f>
        <v>131976.03</v>
      </c>
      <c r="Q39">
        <f>('Vstupní hodnoty'!P$5+'Roční bonus alt 2'!D25)*L39+IF(K39&lt;21, 0, (C39-20)*'Vstupní hodnoty'!$O$5*'Vstupní hodnoty'!$A$17)*Vícenáklady!L39</f>
        <v>115336</v>
      </c>
    </row>
    <row r="40" spans="3:17" x14ac:dyDescent="0.2">
      <c r="C40">
        <v>34</v>
      </c>
      <c r="D40">
        <v>2</v>
      </c>
      <c r="E40">
        <f>C40*(D40)*(0*$L$3+ 'Vstupní hodnoty'!H$4*$L$4+'Vstupní hodnoty'!H$5*$L$5+'Vstupní hodnoty'!H$6*$L$6+'Vstupní hodnoty'!H$7*$L$7+'Vstupní hodnoty'!H$8*$L$8)</f>
        <v>11791.2</v>
      </c>
      <c r="F40">
        <f>C40*(D40)*(0*0.25+'Vstupní hodnoty'!Q$4*0.2+'Vstupní hodnoty'!Q$5*0.25+'Vstupní hodnoty'!Q$6*0.15+'Vstupní hodnoty'!Q$7*0.1+'Vstupní hodnoty'!Q$8*0.05)</f>
        <v>14320.8</v>
      </c>
      <c r="G40">
        <f t="shared" si="5"/>
        <v>48000</v>
      </c>
      <c r="H40">
        <f>(IF(C40&lt;14,0,IF(C40&lt;21,'Vstupní hodnoty'!N$4,IF(C40&lt;28,'Vstupní hodnoty'!N$5,IF(C40&lt;35,'Vstupní hodnoty'!N$6,'Vstupní hodnoty'!N$6))))+IF(C40&lt;14,0,IF(AI$15&lt;2,'Vstupní hodnoty'!O$6,IF(Model!AI$3&lt;3,'Vstupní hodnoty'!O$5,IF(Model!AI$3&lt;4,'Vstupní hodnoty'!O$4,0))))+'Vstupní hodnoty'!P$5)*D40+IF(C40&lt;21, 0, (C40-20)*'Vstupní hodnoty'!$O$5*'Vstupní hodnoty'!$A$17)*Vícenáklady!D40</f>
        <v>88192.02</v>
      </c>
      <c r="I40" s="5">
        <f>('Vstupní hodnoty'!P$5+'Roční bonus alt 2'!D26)*D40+IF(C40&lt;21, 0, (C40-20)*'Vstupní hodnoty'!$O$5*'Vstupní hodnoty'!$A$17)*Vícenáklady!D40</f>
        <v>79872</v>
      </c>
      <c r="K40">
        <v>34</v>
      </c>
      <c r="L40">
        <v>3</v>
      </c>
      <c r="M40">
        <f>K40*(L40)*(0*0.25+ 'Vstupní hodnoty'!H$4*0.2+'Vstupní hodnoty'!H$5*0.25+'Vstupní hodnoty'!H$6*0.15+'Vstupní hodnoty'!H$7*0.1+'Vstupní hodnoty'!H$8*0.05)</f>
        <v>17686.8</v>
      </c>
      <c r="N40">
        <f>K40*(L40)*(0*L$3+'Vstupní hodnoty'!Q$4*L$4+'Vstupní hodnoty'!Q$5*$L$5+'Vstupní hodnoty'!Q$6*$L$6+'Vstupní hodnoty'!Q$7*$L$7+'Vstupní hodnoty'!Q$8*$L$8)</f>
        <v>21481.200000000001</v>
      </c>
      <c r="O40">
        <f t="shared" si="6"/>
        <v>72000</v>
      </c>
      <c r="P40">
        <f>(IF(K40&lt;14,0,IF(K40&lt;21,'Vstupní hodnoty'!N$4,IF(K40&lt;28,'Vstupní hodnoty'!N$5,IF(K40&lt;35,'Vstupní hodnoty'!N$6,'Vstupní hodnoty'!N$6))))+IF(K40&lt;14,0,IF(AR$15&lt;2,'Vstupní hodnoty'!O$6,IF(Model!AR$3&lt;3,'Vstupní hodnoty'!O$5,IF(Model!AR$3&lt;4,'Vstupní hodnoty'!O$4,0))))+'Vstupní hodnoty'!P$5)*L40++IF(K40&lt;21, 0, (C40-20)*'Vstupní hodnoty'!$O$5*'Vstupní hodnoty'!$A$17)*Vícenáklady!L40</f>
        <v>132288.03</v>
      </c>
      <c r="Q40">
        <f>('Vstupní hodnoty'!P$5+'Roční bonus alt 2'!D26)*L40+IF(K40&lt;21, 0, (C40-20)*'Vstupní hodnoty'!$O$5*'Vstupní hodnoty'!$A$17)*Vícenáklady!L40</f>
        <v>119808</v>
      </c>
    </row>
    <row r="41" spans="3:17" x14ac:dyDescent="0.2">
      <c r="C41">
        <v>35</v>
      </c>
      <c r="D41">
        <v>1</v>
      </c>
      <c r="E41">
        <f>C41*(D41)*(0*$L$3+ 'Vstupní hodnoty'!H$4*$L$4+'Vstupní hodnoty'!H$5*$L$5+'Vstupní hodnoty'!H$6*$L$6+'Vstupní hodnoty'!H$7*$L$7+'Vstupní hodnoty'!H$8*$L$8)</f>
        <v>6069</v>
      </c>
      <c r="F41">
        <f>C41*(D41)*(0*0.25+'Vstupní hodnoty'!Q$4*0.2+'Vstupní hodnoty'!Q$5*0.25+'Vstupní hodnoty'!Q$6*0.15+'Vstupní hodnoty'!Q$7*0.1+'Vstupní hodnoty'!Q$8*0.05)</f>
        <v>7371</v>
      </c>
      <c r="G41">
        <f t="shared" si="5"/>
        <v>24000</v>
      </c>
      <c r="H41">
        <f>(IF(C41&lt;14,0,IF(C41&lt;21,'Vstupní hodnoty'!N$4,IF(C41&lt;28,'Vstupní hodnoty'!N$5,IF(C41&lt;35,'Vstupní hodnoty'!N$6,'Vstupní hodnoty'!N$6))))+IF(C41&lt;14,0,IF(AI$15&lt;2,'Vstupní hodnoty'!O$6,IF(Model!AI$3&lt;3,'Vstupní hodnoty'!O$5,IF(Model!AI$3&lt;4,'Vstupní hodnoty'!O$4,0))))+'Vstupní hodnoty'!P$5)*D41+IF(C41&lt;21, 0, (C41-20)*'Vstupní hodnoty'!$O$5*'Vstupní hodnoty'!$A$17)*Vícenáklady!D41</f>
        <v>44200.01</v>
      </c>
      <c r="I41" s="5">
        <f>('Vstupní hodnoty'!P$5+'Roční bonus alt 2'!D27)*D41+IF(C41&lt;21, 0, (C41-20)*'Vstupní hodnoty'!$O$5*'Vstupní hodnoty'!$A$17)*Vícenáklady!D41</f>
        <v>41426.666666666672</v>
      </c>
      <c r="K41">
        <v>35</v>
      </c>
      <c r="L41">
        <v>2</v>
      </c>
      <c r="M41">
        <f>K41*(L41)*(0*0.25+ 'Vstupní hodnoty'!H$4*0.2+'Vstupní hodnoty'!H$5*0.25+'Vstupní hodnoty'!H$6*0.15+'Vstupní hodnoty'!H$7*0.1+'Vstupní hodnoty'!H$8*0.05)</f>
        <v>12138</v>
      </c>
      <c r="N41">
        <f>K41*(L41)*(0*L$3+'Vstupní hodnoty'!Q$4*L$4+'Vstupní hodnoty'!Q$5*$L$5+'Vstupní hodnoty'!Q$6*$L$6+'Vstupní hodnoty'!Q$7*$L$7+'Vstupní hodnoty'!Q$8*$L$8)</f>
        <v>14742</v>
      </c>
      <c r="O41">
        <f t="shared" si="6"/>
        <v>48000</v>
      </c>
      <c r="P41">
        <f>(IF(K41&lt;14,0,IF(K41&lt;21,'Vstupní hodnoty'!N$4,IF(K41&lt;28,'Vstupní hodnoty'!N$5,IF(K41&lt;35,'Vstupní hodnoty'!N$6,'Vstupní hodnoty'!N$6))))+IF(K41&lt;14,0,IF(AR$15&lt;2,'Vstupní hodnoty'!O$6,IF(Model!AR$3&lt;3,'Vstupní hodnoty'!O$5,IF(Model!AR$3&lt;4,'Vstupní hodnoty'!O$4,0))))+'Vstupní hodnoty'!P$5)*L41++IF(K41&lt;21, 0, (C41-20)*'Vstupní hodnoty'!$O$5*'Vstupní hodnoty'!$A$17)*Vícenáklady!L41</f>
        <v>88400.02</v>
      </c>
      <c r="Q41">
        <f>('Vstupní hodnoty'!P$5+'Roční bonus alt 2'!D27)*L41+IF(K41&lt;21, 0, (C41-20)*'Vstupní hodnoty'!$O$5*'Vstupní hodnoty'!$A$17)*Vícenáklady!L41</f>
        <v>82853.333333333343</v>
      </c>
    </row>
    <row r="42" spans="3:17" x14ac:dyDescent="0.2">
      <c r="C42">
        <v>36</v>
      </c>
      <c r="D42">
        <v>1</v>
      </c>
      <c r="E42">
        <f>C42*(D42)*(0*$L$3+ 'Vstupní hodnoty'!H$4*$L$4+'Vstupní hodnoty'!H$5*$L$5+'Vstupní hodnoty'!H$6*$L$6+'Vstupní hodnoty'!H$7*$L$7+'Vstupní hodnoty'!H$8*$L$8)</f>
        <v>6242.4000000000005</v>
      </c>
      <c r="F42">
        <f>C42*(D42)*(0*0.25+'Vstupní hodnoty'!Q$4*0.2+'Vstupní hodnoty'!Q$5*0.25+'Vstupní hodnoty'!Q$6*0.15+'Vstupní hodnoty'!Q$7*0.1+'Vstupní hodnoty'!Q$8*0.05)</f>
        <v>7581.5999999999995</v>
      </c>
      <c r="G42">
        <f t="shared" si="5"/>
        <v>24000</v>
      </c>
      <c r="H42">
        <f>(IF(C42&lt;14,0,IF(C42&lt;21,'Vstupní hodnoty'!N$4,IF(C42&lt;28,'Vstupní hodnoty'!N$5,IF(C42&lt;35,'Vstupní hodnoty'!N$6,'Vstupní hodnoty'!N$6))))+IF(C42&lt;14,0,IF(AI$15&lt;2,'Vstupní hodnoty'!O$6,IF(Model!AI$3&lt;3,'Vstupní hodnoty'!O$5,IF(Model!AI$3&lt;4,'Vstupní hodnoty'!O$4,0))))+'Vstupní hodnoty'!P$5)*D42+IF(C42&lt;21, 0, (C42-20)*'Vstupní hodnoty'!$O$5*'Vstupní hodnoty'!$A$17)*Vícenáklady!D42</f>
        <v>44304.01</v>
      </c>
      <c r="I42" s="5">
        <f>('Vstupní hodnoty'!P$5+'Roční bonus alt 2'!D28)*D42+IF(C42&lt;21, 0, (C42-20)*'Vstupní hodnoty'!$O$5*'Vstupní hodnoty'!$A$17)*Vícenáklady!D42</f>
        <v>42917.333333333336</v>
      </c>
      <c r="K42">
        <v>36</v>
      </c>
      <c r="L42">
        <v>2</v>
      </c>
      <c r="M42">
        <f>K42*(L42)*(0*0.25+ 'Vstupní hodnoty'!H$4*0.2+'Vstupní hodnoty'!H$5*0.25+'Vstupní hodnoty'!H$6*0.15+'Vstupní hodnoty'!H$7*0.1+'Vstupní hodnoty'!H$8*0.05)</f>
        <v>12484.800000000001</v>
      </c>
      <c r="N42">
        <f>K42*(L42)*(0*L$3+'Vstupní hodnoty'!Q$4*L$4+'Vstupní hodnoty'!Q$5*$L$5+'Vstupní hodnoty'!Q$6*$L$6+'Vstupní hodnoty'!Q$7*$L$7+'Vstupní hodnoty'!Q$8*$L$8)</f>
        <v>15163.199999999999</v>
      </c>
      <c r="O42">
        <f t="shared" si="6"/>
        <v>48000</v>
      </c>
      <c r="P42">
        <f>(IF(K42&lt;14,0,IF(K42&lt;21,'Vstupní hodnoty'!N$4,IF(K42&lt;28,'Vstupní hodnoty'!N$5,IF(K42&lt;35,'Vstupní hodnoty'!N$6,'Vstupní hodnoty'!N$6))))+IF(K42&lt;14,0,IF(AR$15&lt;2,'Vstupní hodnoty'!O$6,IF(Model!AR$3&lt;3,'Vstupní hodnoty'!O$5,IF(Model!AR$3&lt;4,'Vstupní hodnoty'!O$4,0))))+'Vstupní hodnoty'!P$5)*L42++IF(K42&lt;21, 0, (C42-20)*'Vstupní hodnoty'!$O$5*'Vstupní hodnoty'!$A$17)*Vícenáklady!L42</f>
        <v>88608.02</v>
      </c>
      <c r="Q42">
        <f>('Vstupní hodnoty'!P$5+'Roční bonus alt 2'!D28)*L42+IF(K42&lt;21, 0, (C42-20)*'Vstupní hodnoty'!$O$5*'Vstupní hodnoty'!$A$17)*Vícenáklady!L42</f>
        <v>85834.666666666672</v>
      </c>
    </row>
    <row r="43" spans="3:17" x14ac:dyDescent="0.2">
      <c r="C43">
        <v>37</v>
      </c>
      <c r="D43">
        <v>1</v>
      </c>
      <c r="E43">
        <f>C43*(D43)*(0*$L$3+ 'Vstupní hodnoty'!H$4*$L$4+'Vstupní hodnoty'!H$5*$L$5+'Vstupní hodnoty'!H$6*$L$6+'Vstupní hodnoty'!H$7*$L$7+'Vstupní hodnoty'!H$8*$L$8)</f>
        <v>6415.8</v>
      </c>
      <c r="F43">
        <f>C43*(D43)*(0*0.25+'Vstupní hodnoty'!Q$4*0.2+'Vstupní hodnoty'!Q$5*0.25+'Vstupní hodnoty'!Q$6*0.15+'Vstupní hodnoty'!Q$7*0.1+'Vstupní hodnoty'!Q$8*0.05)</f>
        <v>7792.2</v>
      </c>
      <c r="G43">
        <f t="shared" si="5"/>
        <v>24000</v>
      </c>
      <c r="H43">
        <f>(IF(C43&lt;14,0,IF(C43&lt;21,'Vstupní hodnoty'!N$4,IF(C43&lt;28,'Vstupní hodnoty'!N$5,IF(C43&lt;35,'Vstupní hodnoty'!N$6,'Vstupní hodnoty'!N$6))))+IF(C43&lt;14,0,IF(AI$15&lt;2,'Vstupní hodnoty'!O$6,IF(Model!AI$3&lt;3,'Vstupní hodnoty'!O$5,IF(Model!AI$3&lt;4,'Vstupní hodnoty'!O$4,0))))+'Vstupní hodnoty'!P$5)*D43+IF(C43&lt;21, 0, (C43-20)*'Vstupní hodnoty'!$O$5*'Vstupní hodnoty'!$A$17)*Vícenáklady!D43</f>
        <v>44408.01</v>
      </c>
      <c r="I43" s="5">
        <f>('Vstupní hodnoty'!P$5+'Roční bonus alt 2'!D29)*D43+IF(C43&lt;21, 0, (C43-20)*'Vstupní hodnoty'!$O$5*'Vstupní hodnoty'!$A$17)*Vícenáklady!D43</f>
        <v>44408</v>
      </c>
      <c r="K43">
        <v>37</v>
      </c>
      <c r="L43">
        <v>2</v>
      </c>
      <c r="M43">
        <f>K43*(L43)*(0*0.25+ 'Vstupní hodnoty'!H$4*0.2+'Vstupní hodnoty'!H$5*0.25+'Vstupní hodnoty'!H$6*0.15+'Vstupní hodnoty'!H$7*0.1+'Vstupní hodnoty'!H$8*0.05)</f>
        <v>12831.6</v>
      </c>
      <c r="N43">
        <f>K43*(L43)*(0*L$3+'Vstupní hodnoty'!Q$4*L$4+'Vstupní hodnoty'!Q$5*$L$5+'Vstupní hodnoty'!Q$6*$L$6+'Vstupní hodnoty'!Q$7*$L$7+'Vstupní hodnoty'!Q$8*$L$8)</f>
        <v>15584.4</v>
      </c>
      <c r="O43">
        <f t="shared" si="6"/>
        <v>48000</v>
      </c>
      <c r="P43">
        <f>(IF(K43&lt;14,0,IF(K43&lt;21,'Vstupní hodnoty'!N$4,IF(K43&lt;28,'Vstupní hodnoty'!N$5,IF(K43&lt;35,'Vstupní hodnoty'!N$6,'Vstupní hodnoty'!N$6))))+IF(K43&lt;14,0,IF(AR$15&lt;2,'Vstupní hodnoty'!O$6,IF(Model!AR$3&lt;3,'Vstupní hodnoty'!O$5,IF(Model!AR$3&lt;4,'Vstupní hodnoty'!O$4,0))))+'Vstupní hodnoty'!P$5)*L43++IF(K43&lt;21, 0, (C43-20)*'Vstupní hodnoty'!$O$5*'Vstupní hodnoty'!$A$17)*Vícenáklady!L43</f>
        <v>88816.02</v>
      </c>
      <c r="Q43">
        <f>('Vstupní hodnoty'!P$5+'Roční bonus alt 2'!D29)*L43+IF(K43&lt;21, 0, (C43-20)*'Vstupní hodnoty'!$O$5*'Vstupní hodnoty'!$A$17)*Vícenáklady!L43</f>
        <v>88816</v>
      </c>
    </row>
    <row r="44" spans="3:17" x14ac:dyDescent="0.2">
      <c r="C44">
        <v>38</v>
      </c>
      <c r="D44">
        <v>1</v>
      </c>
      <c r="E44">
        <f>C44*(D44)*(0*$L$3+ 'Vstupní hodnoty'!H$4*$L$4+'Vstupní hodnoty'!H$5*$L$5+'Vstupní hodnoty'!H$6*$L$6+'Vstupní hodnoty'!H$7*$L$7+'Vstupní hodnoty'!H$8*$L$8)</f>
        <v>6589.2</v>
      </c>
      <c r="F44">
        <f>C44*(D44)*(0*0.25+'Vstupní hodnoty'!Q$4*0.2+'Vstupní hodnoty'!Q$5*0.25+'Vstupní hodnoty'!Q$6*0.15+'Vstupní hodnoty'!Q$7*0.1+'Vstupní hodnoty'!Q$8*0.05)</f>
        <v>8002.8</v>
      </c>
      <c r="G44">
        <f t="shared" si="5"/>
        <v>24000</v>
      </c>
      <c r="H44">
        <f>(IF(C44&lt;14,0,IF(C44&lt;21,'Vstupní hodnoty'!N$4,IF(C44&lt;28,'Vstupní hodnoty'!N$5,IF(C44&lt;35,'Vstupní hodnoty'!N$6,'Vstupní hodnoty'!N$6))))+IF(C44&lt;14,0,IF(AI$15&lt;2,'Vstupní hodnoty'!O$6,IF(Model!AI$3&lt;3,'Vstupní hodnoty'!O$5,IF(Model!AI$3&lt;4,'Vstupní hodnoty'!O$4,0))))+'Vstupní hodnoty'!P$5)*D44+IF(C44&lt;21, 0, (C44-20)*'Vstupní hodnoty'!$O$5*'Vstupní hodnoty'!$A$17)*Vícenáklady!D44</f>
        <v>44512.01</v>
      </c>
      <c r="I44" s="5">
        <f>('Vstupní hodnoty'!P$5+'Roční bonus alt 2'!D30)*D44+IF(C44&lt;21, 0, (C44-20)*'Vstupní hodnoty'!$O$5*'Vstupní hodnoty'!$A$17)*Vícenáklady!D44</f>
        <v>45898.666666666672</v>
      </c>
      <c r="K44">
        <v>38</v>
      </c>
      <c r="L44">
        <v>2</v>
      </c>
      <c r="M44">
        <f>K44*(L44)*(0*0.25+ 'Vstupní hodnoty'!H$4*0.2+'Vstupní hodnoty'!H$5*0.25+'Vstupní hodnoty'!H$6*0.15+'Vstupní hodnoty'!H$7*0.1+'Vstupní hodnoty'!H$8*0.05)</f>
        <v>13178.4</v>
      </c>
      <c r="N44">
        <f>K44*(L44)*(0*L$3+'Vstupní hodnoty'!Q$4*L$4+'Vstupní hodnoty'!Q$5*$L$5+'Vstupní hodnoty'!Q$6*$L$6+'Vstupní hodnoty'!Q$7*$L$7+'Vstupní hodnoty'!Q$8*$L$8)</f>
        <v>16005.6</v>
      </c>
      <c r="O44">
        <f t="shared" si="6"/>
        <v>48000</v>
      </c>
      <c r="P44">
        <f>(IF(K44&lt;14,0,IF(K44&lt;21,'Vstupní hodnoty'!N$4,IF(K44&lt;28,'Vstupní hodnoty'!N$5,IF(K44&lt;35,'Vstupní hodnoty'!N$6,'Vstupní hodnoty'!N$6))))+IF(K44&lt;14,0,IF(AR$15&lt;2,'Vstupní hodnoty'!O$6,IF(Model!AR$3&lt;3,'Vstupní hodnoty'!O$5,IF(Model!AR$3&lt;4,'Vstupní hodnoty'!O$4,0))))+'Vstupní hodnoty'!P$5)*L44++IF(K44&lt;21, 0, (C44-20)*'Vstupní hodnoty'!$O$5*'Vstupní hodnoty'!$A$17)*Vícenáklady!L44</f>
        <v>89024.02</v>
      </c>
      <c r="Q44">
        <f>('Vstupní hodnoty'!P$5+'Roční bonus alt 2'!D30)*L44+IF(K44&lt;21, 0, (C44-20)*'Vstupní hodnoty'!$O$5*'Vstupní hodnoty'!$A$17)*Vícenáklady!L44</f>
        <v>91797.333333333343</v>
      </c>
    </row>
    <row r="45" spans="3:17" x14ac:dyDescent="0.2">
      <c r="C45">
        <v>39</v>
      </c>
      <c r="D45">
        <v>1</v>
      </c>
      <c r="E45">
        <f>C45*(D45)*(0*$L$3+ 'Vstupní hodnoty'!H$4*$L$4+'Vstupní hodnoty'!H$5*$L$5+'Vstupní hodnoty'!H$6*$L$6+'Vstupní hodnoty'!H$7*$L$7+'Vstupní hodnoty'!H$8*$L$8)</f>
        <v>6762.6</v>
      </c>
      <c r="F45">
        <f>C45*(D45)*(0*0.25+'Vstupní hodnoty'!Q$4*0.2+'Vstupní hodnoty'!Q$5*0.25+'Vstupní hodnoty'!Q$6*0.15+'Vstupní hodnoty'!Q$7*0.1+'Vstupní hodnoty'!Q$8*0.05)</f>
        <v>8213.4</v>
      </c>
      <c r="G45">
        <f t="shared" si="5"/>
        <v>24000</v>
      </c>
      <c r="H45">
        <f>(IF(C45&lt;14,0,IF(C45&lt;21,'Vstupní hodnoty'!N$4,IF(C45&lt;28,'Vstupní hodnoty'!N$5,IF(C45&lt;35,'Vstupní hodnoty'!N$6,'Vstupní hodnoty'!N$6))))+IF(C45&lt;14,0,IF(AI$15&lt;2,'Vstupní hodnoty'!O$6,IF(Model!AI$3&lt;3,'Vstupní hodnoty'!O$5,IF(Model!AI$3&lt;4,'Vstupní hodnoty'!O$4,0))))+'Vstupní hodnoty'!P$5)*D45+IF(C45&lt;21, 0, (C45-20)*'Vstupní hodnoty'!$O$5*'Vstupní hodnoty'!$A$17)*Vícenáklady!D45</f>
        <v>44616.01</v>
      </c>
      <c r="I45" s="5">
        <f>('Vstupní hodnoty'!P$5+'Roční bonus alt 2'!D31)*D45+IF(C45&lt;21, 0, (C45-20)*'Vstupní hodnoty'!$O$5*'Vstupní hodnoty'!$A$17)*Vícenáklady!D45</f>
        <v>47389.333333333336</v>
      </c>
      <c r="K45">
        <v>39</v>
      </c>
      <c r="L45">
        <v>2</v>
      </c>
      <c r="M45">
        <f>K45*(L45)*(0*0.25+ 'Vstupní hodnoty'!H$4*0.2+'Vstupní hodnoty'!H$5*0.25+'Vstupní hodnoty'!H$6*0.15+'Vstupní hodnoty'!H$7*0.1+'Vstupní hodnoty'!H$8*0.05)</f>
        <v>13525.2</v>
      </c>
      <c r="N45">
        <f>K45*(L45)*(0*L$3+'Vstupní hodnoty'!Q$4*L$4+'Vstupní hodnoty'!Q$5*$L$5+'Vstupní hodnoty'!Q$6*$L$6+'Vstupní hodnoty'!Q$7*$L$7+'Vstupní hodnoty'!Q$8*$L$8)</f>
        <v>16426.8</v>
      </c>
      <c r="O45">
        <f t="shared" si="6"/>
        <v>48000</v>
      </c>
      <c r="P45">
        <f>(IF(K45&lt;14,0,IF(K45&lt;21,'Vstupní hodnoty'!N$4,IF(K45&lt;28,'Vstupní hodnoty'!N$5,IF(K45&lt;35,'Vstupní hodnoty'!N$6,'Vstupní hodnoty'!N$6))))+IF(K45&lt;14,0,IF(AR$15&lt;2,'Vstupní hodnoty'!O$6,IF(Model!AR$3&lt;3,'Vstupní hodnoty'!O$5,IF(Model!AR$3&lt;4,'Vstupní hodnoty'!O$4,0))))+'Vstupní hodnoty'!P$5)*L45++IF(K45&lt;21, 0, (C45-20)*'Vstupní hodnoty'!$O$5*'Vstupní hodnoty'!$A$17)*Vícenáklady!L45</f>
        <v>89232.02</v>
      </c>
      <c r="Q45">
        <f>('Vstupní hodnoty'!P$5+'Roční bonus alt 2'!D31)*L45+IF(K45&lt;21, 0, (C45-20)*'Vstupní hodnoty'!$O$5*'Vstupní hodnoty'!$A$17)*Vícenáklady!L45</f>
        <v>94778.666666666672</v>
      </c>
    </row>
    <row r="46" spans="3:17" x14ac:dyDescent="0.2">
      <c r="C46">
        <v>40</v>
      </c>
      <c r="D46">
        <v>1</v>
      </c>
      <c r="E46">
        <f>C46*(D46)*(0*$L$3+ 'Vstupní hodnoty'!H$4*$L$4+'Vstupní hodnoty'!H$5*$L$5+'Vstupní hodnoty'!H$6*$L$6+'Vstupní hodnoty'!H$7*$L$7+'Vstupní hodnoty'!H$8*$L$8)</f>
        <v>6936</v>
      </c>
      <c r="F46">
        <f>C46*(D46)*(0*0.25+'Vstupní hodnoty'!Q$4*0.2+'Vstupní hodnoty'!Q$5*0.25+'Vstupní hodnoty'!Q$6*0.15+'Vstupní hodnoty'!Q$7*0.1+'Vstupní hodnoty'!Q$8*0.05)</f>
        <v>8424</v>
      </c>
      <c r="G46">
        <f t="shared" si="5"/>
        <v>24000</v>
      </c>
      <c r="H46">
        <f>(IF(C46&lt;14,0,IF(C46&lt;21,'Vstupní hodnoty'!N$4,IF(C46&lt;28,'Vstupní hodnoty'!N$5,IF(C46&lt;35,'Vstupní hodnoty'!N$6,'Vstupní hodnoty'!N$6))))+IF(C46&lt;14,0,IF(AI$15&lt;2,'Vstupní hodnoty'!O$6,IF(Model!AI$3&lt;3,'Vstupní hodnoty'!O$5,IF(Model!AI$3&lt;4,'Vstupní hodnoty'!O$4,0))))+'Vstupní hodnoty'!P$5)*D46+IF(C46&lt;21, 0, (C46-20)*'Vstupní hodnoty'!$O$5*'Vstupní hodnoty'!$A$17)*Vícenáklady!D46</f>
        <v>44720.01</v>
      </c>
      <c r="I46" s="5">
        <f>('Vstupní hodnoty'!P$5+'Roční bonus alt 2'!D32)*D46+IF(C46&lt;21, 0, (C46-20)*'Vstupní hodnoty'!$O$5*'Vstupní hodnoty'!$A$17)*Vícenáklady!D46</f>
        <v>48880</v>
      </c>
      <c r="K46">
        <v>40</v>
      </c>
      <c r="L46">
        <v>2</v>
      </c>
      <c r="M46">
        <f>K46*(L46)*(0*0.25+ 'Vstupní hodnoty'!H$4*0.2+'Vstupní hodnoty'!H$5*0.25+'Vstupní hodnoty'!H$6*0.15+'Vstupní hodnoty'!H$7*0.1+'Vstupní hodnoty'!H$8*0.05)</f>
        <v>13872</v>
      </c>
      <c r="N46">
        <f>K46*(L46)*(0*L$3+'Vstupní hodnoty'!Q$4*L$4+'Vstupní hodnoty'!Q$5*$L$5+'Vstupní hodnoty'!Q$6*$L$6+'Vstupní hodnoty'!Q$7*$L$7+'Vstupní hodnoty'!Q$8*$L$8)</f>
        <v>16848</v>
      </c>
      <c r="O46">
        <f t="shared" si="6"/>
        <v>48000</v>
      </c>
      <c r="P46">
        <f>(IF(K46&lt;14,0,IF(K46&lt;21,'Vstupní hodnoty'!N$4,IF(K46&lt;28,'Vstupní hodnoty'!N$5,IF(K46&lt;35,'Vstupní hodnoty'!N$6,'Vstupní hodnoty'!N$6))))+IF(K46&lt;14,0,IF(AR$15&lt;2,'Vstupní hodnoty'!O$6,IF(Model!AR$3&lt;3,'Vstupní hodnoty'!O$5,IF(Model!AR$3&lt;4,'Vstupní hodnoty'!O$4,0))))+'Vstupní hodnoty'!P$5)*L46++IF(K46&lt;21, 0, (C46-20)*'Vstupní hodnoty'!$O$5*'Vstupní hodnoty'!$A$17)*Vícenáklady!L46</f>
        <v>89440.02</v>
      </c>
      <c r="Q46">
        <f>('Vstupní hodnoty'!P$5+'Roční bonus alt 2'!D32)*L46+IF(K46&lt;21, 0, (C46-20)*'Vstupní hodnoty'!$O$5*'Vstupní hodnoty'!$A$17)*Vícenáklady!L46</f>
        <v>97760</v>
      </c>
    </row>
    <row r="47" spans="3:17" x14ac:dyDescent="0.2">
      <c r="C47">
        <v>41</v>
      </c>
      <c r="D47">
        <v>1</v>
      </c>
      <c r="E47">
        <f>C47*(D47)*(0*$L$3+ 'Vstupní hodnoty'!H$4*$L$4+'Vstupní hodnoty'!H$5*$L$5+'Vstupní hodnoty'!H$6*$L$6+'Vstupní hodnoty'!H$7*$L$7+'Vstupní hodnoty'!H$8*$L$8)</f>
        <v>7109.4000000000005</v>
      </c>
      <c r="F47">
        <f>C47*(D47)*(0*0.25+'Vstupní hodnoty'!Q$4*0.2+'Vstupní hodnoty'!Q$5*0.25+'Vstupní hodnoty'!Q$6*0.15+'Vstupní hodnoty'!Q$7*0.1+'Vstupní hodnoty'!Q$8*0.05)</f>
        <v>8634.6</v>
      </c>
      <c r="G47">
        <f t="shared" si="5"/>
        <v>24000</v>
      </c>
      <c r="H47">
        <f>(IF(C47&lt;14,0,IF(C47&lt;21,'Vstupní hodnoty'!N$4,IF(C47&lt;28,'Vstupní hodnoty'!N$5,IF(C47&lt;35,'Vstupní hodnoty'!N$6,'Vstupní hodnoty'!N$6))))+IF(C47&lt;14,0,IF(AI$15&lt;2,'Vstupní hodnoty'!O$6,IF(Model!AI$3&lt;3,'Vstupní hodnoty'!O$5,IF(Model!AI$3&lt;4,'Vstupní hodnoty'!O$4,0))))+'Vstupní hodnoty'!P$5)*D47+IF(C47&lt;21, 0, (C47-20)*'Vstupní hodnoty'!$O$5*'Vstupní hodnoty'!$A$17)*Vícenáklady!D47</f>
        <v>44824.01</v>
      </c>
      <c r="I47" s="5">
        <f>('Vstupní hodnoty'!P$5+'Roční bonus alt 2'!D33)*D47+IF(C47&lt;21, 0, (C47-20)*'Vstupní hodnoty'!$O$5*'Vstupní hodnoty'!$A$17)*Vícenáklady!D47</f>
        <v>50370.666666666672</v>
      </c>
      <c r="K47">
        <v>41</v>
      </c>
      <c r="L47">
        <v>2</v>
      </c>
      <c r="M47">
        <f>K47*(L47)*(0*0.25+ 'Vstupní hodnoty'!H$4*0.2+'Vstupní hodnoty'!H$5*0.25+'Vstupní hodnoty'!H$6*0.15+'Vstupní hodnoty'!H$7*0.1+'Vstupní hodnoty'!H$8*0.05)</f>
        <v>14218.800000000001</v>
      </c>
      <c r="N47">
        <f>K47*(L47)*(0*L$3+'Vstupní hodnoty'!Q$4*L$4+'Vstupní hodnoty'!Q$5*$L$5+'Vstupní hodnoty'!Q$6*$L$6+'Vstupní hodnoty'!Q$7*$L$7+'Vstupní hodnoty'!Q$8*$L$8)</f>
        <v>17269.2</v>
      </c>
      <c r="O47">
        <f t="shared" si="6"/>
        <v>48000</v>
      </c>
      <c r="P47">
        <f>(IF(K47&lt;14,0,IF(K47&lt;21,'Vstupní hodnoty'!N$4,IF(K47&lt;28,'Vstupní hodnoty'!N$5,IF(K47&lt;35,'Vstupní hodnoty'!N$6,'Vstupní hodnoty'!N$6))))+IF(K47&lt;14,0,IF(AR$15&lt;2,'Vstupní hodnoty'!O$6,IF(Model!AR$3&lt;3,'Vstupní hodnoty'!O$5,IF(Model!AR$3&lt;4,'Vstupní hodnoty'!O$4,0))))+'Vstupní hodnoty'!P$5)*L47++IF(K47&lt;21, 0, (C47-20)*'Vstupní hodnoty'!$O$5*'Vstupní hodnoty'!$A$17)*Vícenáklady!L47</f>
        <v>89648.02</v>
      </c>
      <c r="Q47">
        <f>('Vstupní hodnoty'!P$5+'Roční bonus alt 2'!D33)*L47+IF(K47&lt;21, 0, (C47-20)*'Vstupní hodnoty'!$O$5*'Vstupní hodnoty'!$A$17)*Vícenáklady!L47</f>
        <v>100741.33333333334</v>
      </c>
    </row>
    <row r="48" spans="3:17" x14ac:dyDescent="0.2">
      <c r="C48">
        <v>42</v>
      </c>
      <c r="D48">
        <v>0.5</v>
      </c>
      <c r="E48">
        <f>C48*(D48)*(0*$L$3+ 'Vstupní hodnoty'!H$4*$L$4+'Vstupní hodnoty'!H$5*$L$5+'Vstupní hodnoty'!H$6*$L$6+'Vstupní hodnoty'!H$7*$L$7+'Vstupní hodnoty'!H$8*$L$8)</f>
        <v>3641.4</v>
      </c>
      <c r="F48">
        <f>C48*(D48)*(0*0.25+'Vstupní hodnoty'!Q$4*0.2+'Vstupní hodnoty'!Q$5*0.25+'Vstupní hodnoty'!Q$6*0.15+'Vstupní hodnoty'!Q$7*0.1+'Vstupní hodnoty'!Q$8*0.05)</f>
        <v>4422.5999999999995</v>
      </c>
      <c r="G48">
        <f t="shared" si="5"/>
        <v>12000</v>
      </c>
      <c r="H48">
        <f>(IF(C48&lt;14,0,IF(C48&lt;21,'Vstupní hodnoty'!N$4,IF(C48&lt;28,'Vstupní hodnoty'!N$5,IF(C48&lt;35,'Vstupní hodnoty'!N$6,'Vstupní hodnoty'!N$6))))+IF(C48&lt;14,0,IF(AI$15&lt;2,'Vstupní hodnoty'!O$6,IF(Model!AI$3&lt;3,'Vstupní hodnoty'!O$5,IF(Model!AI$3&lt;4,'Vstupní hodnoty'!O$4,0))))+'Vstupní hodnoty'!P$5)*D48+IF(C48&lt;21, 0, (C48-20)*'Vstupní hodnoty'!$O$5*'Vstupní hodnoty'!$A$17)*Vícenáklady!D48</f>
        <v>22464.005000000001</v>
      </c>
      <c r="I48" s="5">
        <f>('Vstupní hodnoty'!P$5+'Roční bonus alt 2'!D34)*D48+IF(C48&lt;21, 0, (C48-20)*'Vstupní hodnoty'!$O$5*'Vstupní hodnoty'!$A$17)*Vícenáklady!D48</f>
        <v>25930.666666666668</v>
      </c>
      <c r="K48">
        <v>42</v>
      </c>
      <c r="L48">
        <v>1</v>
      </c>
      <c r="M48">
        <f>K48*(L48)*(0*0.25+ 'Vstupní hodnoty'!H$4*0.2+'Vstupní hodnoty'!H$5*0.25+'Vstupní hodnoty'!H$6*0.15+'Vstupní hodnoty'!H$7*0.1+'Vstupní hodnoty'!H$8*0.05)</f>
        <v>7282.8</v>
      </c>
      <c r="N48">
        <f>K48*(L48)*(0*L$3+'Vstupní hodnoty'!Q$4*L$4+'Vstupní hodnoty'!Q$5*$L$5+'Vstupní hodnoty'!Q$6*$L$6+'Vstupní hodnoty'!Q$7*$L$7+'Vstupní hodnoty'!Q$8*$L$8)</f>
        <v>8845.1999999999989</v>
      </c>
      <c r="O48">
        <f t="shared" si="6"/>
        <v>24000</v>
      </c>
      <c r="P48">
        <f>(IF(K48&lt;14,0,IF(K48&lt;21,'Vstupní hodnoty'!N$4,IF(K48&lt;28,'Vstupní hodnoty'!N$5,IF(K48&lt;35,'Vstupní hodnoty'!N$6,'Vstupní hodnoty'!N$6))))+IF(K48&lt;14,0,IF(AR$15&lt;2,'Vstupní hodnoty'!O$6,IF(Model!AR$3&lt;3,'Vstupní hodnoty'!O$5,IF(Model!AR$3&lt;4,'Vstupní hodnoty'!O$4,0))))+'Vstupní hodnoty'!P$5)*L48++IF(K48&lt;21, 0, (C48-20)*'Vstupní hodnoty'!$O$5*'Vstupní hodnoty'!$A$17)*Vícenáklady!L48</f>
        <v>44928.01</v>
      </c>
      <c r="Q48">
        <f>('Vstupní hodnoty'!P$5+'Roční bonus alt 2'!D34)*L48+IF(K48&lt;21, 0, (C48-20)*'Vstupní hodnoty'!$O$5*'Vstupní hodnoty'!$A$17)*Vícenáklady!L48</f>
        <v>51861.333333333336</v>
      </c>
    </row>
    <row r="49" spans="3:17" x14ac:dyDescent="0.2">
      <c r="C49">
        <v>43</v>
      </c>
      <c r="D49">
        <v>0.5</v>
      </c>
      <c r="E49">
        <f>C49*(D49)*(0*$L$3+ 'Vstupní hodnoty'!H$4*$L$4+'Vstupní hodnoty'!H$5*$L$5+'Vstupní hodnoty'!H$6*$L$6+'Vstupní hodnoty'!H$7*$L$7+'Vstupní hodnoty'!H$8*$L$8)</f>
        <v>3728.1</v>
      </c>
      <c r="F49">
        <f>C49*(D49)*(0*0.25+'Vstupní hodnoty'!Q$4*0.2+'Vstupní hodnoty'!Q$5*0.25+'Vstupní hodnoty'!Q$6*0.15+'Vstupní hodnoty'!Q$7*0.1+'Vstupní hodnoty'!Q$8*0.05)</f>
        <v>4527.8999999999996</v>
      </c>
      <c r="G49">
        <f t="shared" si="5"/>
        <v>12000</v>
      </c>
      <c r="H49">
        <f>(IF(C49&lt;14,0,IF(C49&lt;21,'Vstupní hodnoty'!N$4,IF(C49&lt;28,'Vstupní hodnoty'!N$5,IF(C49&lt;35,'Vstupní hodnoty'!N$6,'Vstupní hodnoty'!N$6))))+IF(C49&lt;14,0,IF(AI$15&lt;2,'Vstupní hodnoty'!O$6,IF(Model!AI$3&lt;3,'Vstupní hodnoty'!O$5,IF(Model!AI$3&lt;4,'Vstupní hodnoty'!O$4,0))))+'Vstupní hodnoty'!P$5)*D49+IF(C49&lt;21, 0, (C49-20)*'Vstupní hodnoty'!$O$5*'Vstupní hodnoty'!$A$17)*Vícenáklady!D49</f>
        <v>22516.005000000001</v>
      </c>
      <c r="I49" s="5">
        <f>('Vstupní hodnoty'!P$5+'Roční bonus alt 2'!D35)*D49+IF(C49&lt;21, 0, (C49-20)*'Vstupní hodnoty'!$O$5*'Vstupní hodnoty'!$A$17)*Vícenáklady!D49</f>
        <v>26676</v>
      </c>
      <c r="K49">
        <v>43</v>
      </c>
      <c r="L49">
        <v>1</v>
      </c>
      <c r="M49">
        <f>K49*(L49)*(0*0.25+ 'Vstupní hodnoty'!H$4*0.2+'Vstupní hodnoty'!H$5*0.25+'Vstupní hodnoty'!H$6*0.15+'Vstupní hodnoty'!H$7*0.1+'Vstupní hodnoty'!H$8*0.05)</f>
        <v>7456.2</v>
      </c>
      <c r="N49">
        <f>K49*(L49)*(0*L$3+'Vstupní hodnoty'!Q$4*L$4+'Vstupní hodnoty'!Q$5*$L$5+'Vstupní hodnoty'!Q$6*$L$6+'Vstupní hodnoty'!Q$7*$L$7+'Vstupní hodnoty'!Q$8*$L$8)</f>
        <v>9055.7999999999993</v>
      </c>
      <c r="O49">
        <f t="shared" si="6"/>
        <v>24000</v>
      </c>
      <c r="P49">
        <f>(IF(K49&lt;14,0,IF(K49&lt;21,'Vstupní hodnoty'!N$4,IF(K49&lt;28,'Vstupní hodnoty'!N$5,IF(K49&lt;35,'Vstupní hodnoty'!N$6,'Vstupní hodnoty'!N$6))))+IF(K49&lt;14,0,IF(AR$15&lt;2,'Vstupní hodnoty'!O$6,IF(Model!AR$3&lt;3,'Vstupní hodnoty'!O$5,IF(Model!AR$3&lt;4,'Vstupní hodnoty'!O$4,0))))+'Vstupní hodnoty'!P$5)*L49++IF(K49&lt;21, 0, (C49-20)*'Vstupní hodnoty'!$O$5*'Vstupní hodnoty'!$A$17)*Vícenáklady!L49</f>
        <v>45032.01</v>
      </c>
      <c r="Q49">
        <f>('Vstupní hodnoty'!P$5+'Roční bonus alt 2'!D35)*L49+IF(K49&lt;21, 0, (C49-20)*'Vstupní hodnoty'!$O$5*'Vstupní hodnoty'!$A$17)*Vícenáklady!L49</f>
        <v>53352</v>
      </c>
    </row>
    <row r="50" spans="3:17" x14ac:dyDescent="0.2">
      <c r="C50">
        <v>44</v>
      </c>
      <c r="D50">
        <v>0.5</v>
      </c>
      <c r="E50">
        <f>C50*(D50)*(0*$L$3+ 'Vstupní hodnoty'!H$4*$L$4+'Vstupní hodnoty'!H$5*$L$5+'Vstupní hodnoty'!H$6*$L$6+'Vstupní hodnoty'!H$7*$L$7+'Vstupní hodnoty'!H$8*$L$8)</f>
        <v>3814.8</v>
      </c>
      <c r="F50">
        <f>C50*(D50)*(0*0.25+'Vstupní hodnoty'!Q$4*0.2+'Vstupní hodnoty'!Q$5*0.25+'Vstupní hodnoty'!Q$6*0.15+'Vstupní hodnoty'!Q$7*0.1+'Vstupní hodnoty'!Q$8*0.05)</f>
        <v>4633.2</v>
      </c>
      <c r="G50">
        <f t="shared" si="5"/>
        <v>12000</v>
      </c>
      <c r="H50">
        <f>(IF(C50&lt;14,0,IF(C50&lt;21,'Vstupní hodnoty'!N$4,IF(C50&lt;28,'Vstupní hodnoty'!N$5,IF(C50&lt;35,'Vstupní hodnoty'!N$6,'Vstupní hodnoty'!N$6))))+IF(C50&lt;14,0,IF(AI$15&lt;2,'Vstupní hodnoty'!O$6,IF(Model!AI$3&lt;3,'Vstupní hodnoty'!O$5,IF(Model!AI$3&lt;4,'Vstupní hodnoty'!O$4,0))))+'Vstupní hodnoty'!P$5)*D50+IF(C50&lt;21, 0, (C50-20)*'Vstupní hodnoty'!$O$5*'Vstupní hodnoty'!$A$17)*Vícenáklady!D50</f>
        <v>22568.005000000001</v>
      </c>
      <c r="I50" s="5">
        <f>('Vstupní hodnoty'!P$5+'Roční bonus alt 2'!D36)*D50+IF(C50&lt;21, 0, (C50-20)*'Vstupní hodnoty'!$O$5*'Vstupní hodnoty'!$A$17)*Vícenáklady!D50</f>
        <v>27421.333333333336</v>
      </c>
      <c r="K50">
        <v>44</v>
      </c>
      <c r="L50">
        <v>1</v>
      </c>
      <c r="M50">
        <f>K50*(L50)*(0*0.25+ 'Vstupní hodnoty'!H$4*0.2+'Vstupní hodnoty'!H$5*0.25+'Vstupní hodnoty'!H$6*0.15+'Vstupní hodnoty'!H$7*0.1+'Vstupní hodnoty'!H$8*0.05)</f>
        <v>7629.6</v>
      </c>
      <c r="N50">
        <f>K50*(L50)*(0*L$3+'Vstupní hodnoty'!Q$4*L$4+'Vstupní hodnoty'!Q$5*$L$5+'Vstupní hodnoty'!Q$6*$L$6+'Vstupní hodnoty'!Q$7*$L$7+'Vstupní hodnoty'!Q$8*$L$8)</f>
        <v>9266.4</v>
      </c>
      <c r="O50">
        <f t="shared" si="6"/>
        <v>24000</v>
      </c>
      <c r="P50">
        <f>(IF(K50&lt;14,0,IF(K50&lt;21,'Vstupní hodnoty'!N$4,IF(K50&lt;28,'Vstupní hodnoty'!N$5,IF(K50&lt;35,'Vstupní hodnoty'!N$6,'Vstupní hodnoty'!N$6))))+IF(K50&lt;14,0,IF(AR$15&lt;2,'Vstupní hodnoty'!O$6,IF(Model!AR$3&lt;3,'Vstupní hodnoty'!O$5,IF(Model!AR$3&lt;4,'Vstupní hodnoty'!O$4,0))))+'Vstupní hodnoty'!P$5)*L50++IF(K50&lt;21, 0, (C50-20)*'Vstupní hodnoty'!$O$5*'Vstupní hodnoty'!$A$17)*Vícenáklady!L50</f>
        <v>45136.01</v>
      </c>
      <c r="Q50">
        <f>('Vstupní hodnoty'!P$5+'Roční bonus alt 2'!D36)*L50+IF(K50&lt;21, 0, (C50-20)*'Vstupní hodnoty'!$O$5*'Vstupní hodnoty'!$A$17)*Vícenáklady!L50</f>
        <v>54842.666666666672</v>
      </c>
    </row>
    <row r="51" spans="3:17" x14ac:dyDescent="0.2">
      <c r="C51">
        <v>45</v>
      </c>
      <c r="D51">
        <v>0.5</v>
      </c>
      <c r="E51">
        <f>C51*(D51)*(0*$L$3+ 'Vstupní hodnoty'!H$4*$L$4+'Vstupní hodnoty'!H$5*$L$5+'Vstupní hodnoty'!H$6*$L$6+'Vstupní hodnoty'!H$7*$L$7+'Vstupní hodnoty'!H$8*$L$8)</f>
        <v>3901.5</v>
      </c>
      <c r="F51">
        <f>C51*(D51)*(0*0.25+'Vstupní hodnoty'!Q$4*0.2+'Vstupní hodnoty'!Q$5*0.25+'Vstupní hodnoty'!Q$6*0.15+'Vstupní hodnoty'!Q$7*0.1+'Vstupní hodnoty'!Q$8*0.05)</f>
        <v>4738.5</v>
      </c>
      <c r="G51">
        <f t="shared" si="5"/>
        <v>12000</v>
      </c>
      <c r="H51">
        <f>(IF(C51&lt;14,0,IF(C51&lt;21,'Vstupní hodnoty'!N$4,IF(C51&lt;28,'Vstupní hodnoty'!N$5,IF(C51&lt;35,'Vstupní hodnoty'!N$6,'Vstupní hodnoty'!N$6))))+IF(C51&lt;14,0,IF(AI$15&lt;2,'Vstupní hodnoty'!O$6,IF(Model!AI$3&lt;3,'Vstupní hodnoty'!O$5,IF(Model!AI$3&lt;4,'Vstupní hodnoty'!O$4,0))))+'Vstupní hodnoty'!P$5)*D51+IF(C51&lt;21, 0, (C51-20)*'Vstupní hodnoty'!$O$5*'Vstupní hodnoty'!$A$17)*Vícenáklady!D51</f>
        <v>22620.005000000001</v>
      </c>
      <c r="I51" s="5">
        <f>('Vstupní hodnoty'!P$5+'Roční bonus alt 2'!D37)*D51+IF(C51&lt;21, 0, (C51-20)*'Vstupní hodnoty'!$O$5*'Vstupní hodnoty'!$A$17)*Vícenáklady!D51</f>
        <v>28166.666666666668</v>
      </c>
      <c r="K51">
        <v>45</v>
      </c>
      <c r="L51">
        <v>1</v>
      </c>
      <c r="M51">
        <f>K51*(L51)*(0*0.25+ 'Vstupní hodnoty'!H$4*0.2+'Vstupní hodnoty'!H$5*0.25+'Vstupní hodnoty'!H$6*0.15+'Vstupní hodnoty'!H$7*0.1+'Vstupní hodnoty'!H$8*0.05)</f>
        <v>7803</v>
      </c>
      <c r="N51">
        <f>K51*(L51)*(0*L$3+'Vstupní hodnoty'!Q$4*L$4+'Vstupní hodnoty'!Q$5*$L$5+'Vstupní hodnoty'!Q$6*$L$6+'Vstupní hodnoty'!Q$7*$L$7+'Vstupní hodnoty'!Q$8*$L$8)</f>
        <v>9477</v>
      </c>
      <c r="O51">
        <f t="shared" si="6"/>
        <v>24000</v>
      </c>
      <c r="P51">
        <f>(IF(K51&lt;14,0,IF(K51&lt;21,'Vstupní hodnoty'!N$4,IF(K51&lt;28,'Vstupní hodnoty'!N$5,IF(K51&lt;35,'Vstupní hodnoty'!N$6,'Vstupní hodnoty'!N$6))))+IF(K51&lt;14,0,IF(AR$15&lt;2,'Vstupní hodnoty'!O$6,IF(Model!AR$3&lt;3,'Vstupní hodnoty'!O$5,IF(Model!AR$3&lt;4,'Vstupní hodnoty'!O$4,0))))+'Vstupní hodnoty'!P$5)*L51++IF(K51&lt;21, 0, (C51-20)*'Vstupní hodnoty'!$O$5*'Vstupní hodnoty'!$A$17)*Vícenáklady!L51</f>
        <v>45240.01</v>
      </c>
      <c r="Q51">
        <f>('Vstupní hodnoty'!P$5+'Roční bonus alt 2'!D37)*L51+IF(K51&lt;21, 0, (C51-20)*'Vstupní hodnoty'!$O$5*'Vstupní hodnoty'!$A$17)*Vícenáklady!L51</f>
        <v>56333.333333333336</v>
      </c>
    </row>
    <row r="52" spans="3:17" x14ac:dyDescent="0.2">
      <c r="C52">
        <v>46</v>
      </c>
      <c r="D52">
        <v>0.5</v>
      </c>
      <c r="E52">
        <f>C52*(D52)*(0*$L$3+ 'Vstupní hodnoty'!H$4*$L$4+'Vstupní hodnoty'!H$5*$L$5+'Vstupní hodnoty'!H$6*$L$6+'Vstupní hodnoty'!H$7*$L$7+'Vstupní hodnoty'!H$8*$L$8)</f>
        <v>3988.2000000000003</v>
      </c>
      <c r="F52">
        <f>C52*(D52)*(0*0.25+'Vstupní hodnoty'!Q$4*0.2+'Vstupní hodnoty'!Q$5*0.25+'Vstupní hodnoty'!Q$6*0.15+'Vstupní hodnoty'!Q$7*0.1+'Vstupní hodnoty'!Q$8*0.05)</f>
        <v>4843.8</v>
      </c>
      <c r="G52">
        <f t="shared" si="5"/>
        <v>12000</v>
      </c>
      <c r="H52">
        <f>(IF(C52&lt;14,0,IF(C52&lt;21,'Vstupní hodnoty'!N$4,IF(C52&lt;28,'Vstupní hodnoty'!N$5,IF(C52&lt;35,'Vstupní hodnoty'!N$6,'Vstupní hodnoty'!N$6))))+IF(C52&lt;14,0,IF(AI$15&lt;2,'Vstupní hodnoty'!O$6,IF(Model!AI$3&lt;3,'Vstupní hodnoty'!O$5,IF(Model!AI$3&lt;4,'Vstupní hodnoty'!O$4,0))))+'Vstupní hodnoty'!P$5)*D52+IF(C52&lt;21, 0, (C52-20)*'Vstupní hodnoty'!$O$5*'Vstupní hodnoty'!$A$17)*Vícenáklady!D52</f>
        <v>22672.005000000001</v>
      </c>
      <c r="I52" s="5">
        <f>('Vstupní hodnoty'!P$5+'Roční bonus alt 2'!D38)*D52+IF(C52&lt;21, 0, (C52-20)*'Vstupní hodnoty'!$O$5*'Vstupní hodnoty'!$A$17)*Vícenáklady!D52</f>
        <v>28912</v>
      </c>
      <c r="K52">
        <v>46</v>
      </c>
      <c r="L52">
        <v>1</v>
      </c>
      <c r="M52">
        <f>K52*(L52)*(0*0.25+ 'Vstupní hodnoty'!H$4*0.2+'Vstupní hodnoty'!H$5*0.25+'Vstupní hodnoty'!H$6*0.15+'Vstupní hodnoty'!H$7*0.1+'Vstupní hodnoty'!H$8*0.05)</f>
        <v>7976.4000000000005</v>
      </c>
      <c r="N52">
        <f>K52*(L52)*(0*L$3+'Vstupní hodnoty'!Q$4*L$4+'Vstupní hodnoty'!Q$5*$L$5+'Vstupní hodnoty'!Q$6*$L$6+'Vstupní hodnoty'!Q$7*$L$7+'Vstupní hodnoty'!Q$8*$L$8)</f>
        <v>9687.6</v>
      </c>
      <c r="O52">
        <f t="shared" si="6"/>
        <v>24000</v>
      </c>
      <c r="P52">
        <f>(IF(K52&lt;14,0,IF(K52&lt;21,'Vstupní hodnoty'!N$4,IF(K52&lt;28,'Vstupní hodnoty'!N$5,IF(K52&lt;35,'Vstupní hodnoty'!N$6,'Vstupní hodnoty'!N$6))))+IF(K52&lt;14,0,IF(AR$15&lt;2,'Vstupní hodnoty'!O$6,IF(Model!AR$3&lt;3,'Vstupní hodnoty'!O$5,IF(Model!AR$3&lt;4,'Vstupní hodnoty'!O$4,0))))+'Vstupní hodnoty'!P$5)*L52++IF(K52&lt;21, 0, (C52-20)*'Vstupní hodnoty'!$O$5*'Vstupní hodnoty'!$A$17)*Vícenáklady!L52</f>
        <v>45344.01</v>
      </c>
      <c r="Q52">
        <f>('Vstupní hodnoty'!P$5+'Roční bonus alt 2'!D38)*L52+IF(K52&lt;21, 0, (C52-20)*'Vstupní hodnoty'!$O$5*'Vstupní hodnoty'!$A$17)*Vícenáklady!L52</f>
        <v>57824</v>
      </c>
    </row>
    <row r="53" spans="3:17" x14ac:dyDescent="0.2">
      <c r="C53">
        <v>47</v>
      </c>
      <c r="D53">
        <v>0.5</v>
      </c>
      <c r="E53">
        <f>C53*(D53)*(0*$L$3+ 'Vstupní hodnoty'!H$4*$L$4+'Vstupní hodnoty'!H$5*$L$5+'Vstupní hodnoty'!H$6*$L$6+'Vstupní hodnoty'!H$7*$L$7+'Vstupní hodnoty'!H$8*$L$8)</f>
        <v>4074.9</v>
      </c>
      <c r="F53">
        <f>C53*(D53)*(0*0.25+'Vstupní hodnoty'!Q$4*0.2+'Vstupní hodnoty'!Q$5*0.25+'Vstupní hodnoty'!Q$6*0.15+'Vstupní hodnoty'!Q$7*0.1+'Vstupní hodnoty'!Q$8*0.05)</f>
        <v>4949.0999999999995</v>
      </c>
      <c r="G53">
        <f t="shared" si="5"/>
        <v>12000</v>
      </c>
      <c r="H53">
        <f>(IF(C53&lt;14,0,IF(C53&lt;21,'Vstupní hodnoty'!N$4,IF(C53&lt;28,'Vstupní hodnoty'!N$5,IF(C53&lt;35,'Vstupní hodnoty'!N$6,'Vstupní hodnoty'!N$6))))+IF(C53&lt;14,0,IF(AI$15&lt;2,'Vstupní hodnoty'!O$6,IF(Model!AI$3&lt;3,'Vstupní hodnoty'!O$5,IF(Model!AI$3&lt;4,'Vstupní hodnoty'!O$4,0))))+'Vstupní hodnoty'!P$5)*D53+IF(C53&lt;21, 0, (C53-20)*'Vstupní hodnoty'!$O$5*'Vstupní hodnoty'!$A$17)*Vícenáklady!D53</f>
        <v>22724.005000000001</v>
      </c>
      <c r="I53" s="5">
        <f>('Vstupní hodnoty'!P$5+'Roční bonus alt 2'!D39)*D53+IF(C53&lt;21, 0, (C53-20)*'Vstupní hodnoty'!$O$5*'Vstupní hodnoty'!$A$17)*Vícenáklady!D53</f>
        <v>29657.333333333332</v>
      </c>
      <c r="K53">
        <v>47</v>
      </c>
      <c r="L53">
        <v>1</v>
      </c>
      <c r="M53">
        <f>K53*(L53)*(0*0.25+ 'Vstupní hodnoty'!H$4*0.2+'Vstupní hodnoty'!H$5*0.25+'Vstupní hodnoty'!H$6*0.15+'Vstupní hodnoty'!H$7*0.1+'Vstupní hodnoty'!H$8*0.05)</f>
        <v>8149.8</v>
      </c>
      <c r="N53">
        <f>K53*(L53)*(0*L$3+'Vstupní hodnoty'!Q$4*L$4+'Vstupní hodnoty'!Q$5*$L$5+'Vstupní hodnoty'!Q$6*$L$6+'Vstupní hodnoty'!Q$7*$L$7+'Vstupní hodnoty'!Q$8*$L$8)</f>
        <v>9898.1999999999989</v>
      </c>
      <c r="O53">
        <f t="shared" si="6"/>
        <v>24000</v>
      </c>
      <c r="P53">
        <f>(IF(K53&lt;14,0,IF(K53&lt;21,'Vstupní hodnoty'!N$4,IF(K53&lt;28,'Vstupní hodnoty'!N$5,IF(K53&lt;35,'Vstupní hodnoty'!N$6,'Vstupní hodnoty'!N$6))))+IF(K53&lt;14,0,IF(AR$15&lt;2,'Vstupní hodnoty'!O$6,IF(Model!AR$3&lt;3,'Vstupní hodnoty'!O$5,IF(Model!AR$3&lt;4,'Vstupní hodnoty'!O$4,0))))+'Vstupní hodnoty'!P$5)*L53++IF(K53&lt;21, 0, (C53-20)*'Vstupní hodnoty'!$O$5*'Vstupní hodnoty'!$A$17)*Vícenáklady!L53</f>
        <v>45448.01</v>
      </c>
      <c r="Q53">
        <f>('Vstupní hodnoty'!P$5+'Roční bonus alt 2'!D39)*L53+IF(K53&lt;21, 0, (C53-20)*'Vstupní hodnoty'!$O$5*'Vstupní hodnoty'!$A$17)*Vícenáklady!L53</f>
        <v>59314.666666666664</v>
      </c>
    </row>
    <row r="54" spans="3:17" x14ac:dyDescent="0.2">
      <c r="C54">
        <v>48</v>
      </c>
      <c r="D54">
        <v>0.5</v>
      </c>
      <c r="E54">
        <f>C54*(D54)*(0*$L$3+ 'Vstupní hodnoty'!H$4*$L$4+'Vstupní hodnoty'!H$5*$L$5+'Vstupní hodnoty'!H$6*$L$6+'Vstupní hodnoty'!H$7*$L$7+'Vstupní hodnoty'!H$8*$L$8)</f>
        <v>4161.6000000000004</v>
      </c>
      <c r="F54">
        <f>C54*(D54)*(0*0.25+'Vstupní hodnoty'!Q$4*0.2+'Vstupní hodnoty'!Q$5*0.25+'Vstupní hodnoty'!Q$6*0.15+'Vstupní hodnoty'!Q$7*0.1+'Vstupní hodnoty'!Q$8*0.05)</f>
        <v>5054.3999999999996</v>
      </c>
      <c r="G54">
        <f t="shared" si="5"/>
        <v>12000</v>
      </c>
      <c r="H54">
        <f>(IF(C54&lt;14,0,IF(C54&lt;21,'Vstupní hodnoty'!N$4,IF(C54&lt;28,'Vstupní hodnoty'!N$5,IF(C54&lt;35,'Vstupní hodnoty'!N$6,'Vstupní hodnoty'!N$6))))+IF(C54&lt;14,0,IF(AI$15&lt;2,'Vstupní hodnoty'!O$6,IF(Model!AI$3&lt;3,'Vstupní hodnoty'!O$5,IF(Model!AI$3&lt;4,'Vstupní hodnoty'!O$4,0))))+'Vstupní hodnoty'!P$5)*D54+IF(C54&lt;21, 0, (C54-20)*'Vstupní hodnoty'!$O$5*'Vstupní hodnoty'!$A$17)*Vícenáklady!D54</f>
        <v>22776.005000000001</v>
      </c>
      <c r="I54" s="5">
        <f>('Vstupní hodnoty'!P$5+'Roční bonus alt 2'!D40)*D54+IF(C54&lt;21, 0, (C54-20)*'Vstupní hodnoty'!$O$5*'Vstupní hodnoty'!$A$17)*Vícenáklady!D54</f>
        <v>30402.666666666668</v>
      </c>
      <c r="K54">
        <v>48</v>
      </c>
      <c r="L54">
        <v>1</v>
      </c>
      <c r="M54">
        <f>K54*(L54)*(0*0.25+ 'Vstupní hodnoty'!H$4*0.2+'Vstupní hodnoty'!H$5*0.25+'Vstupní hodnoty'!H$6*0.15+'Vstupní hodnoty'!H$7*0.1+'Vstupní hodnoty'!H$8*0.05)</f>
        <v>8323.2000000000007</v>
      </c>
      <c r="N54">
        <f>K54*(L54)*(0*L$3+'Vstupní hodnoty'!Q$4*L$4+'Vstupní hodnoty'!Q$5*$L$5+'Vstupní hodnoty'!Q$6*$L$6+'Vstupní hodnoty'!Q$7*$L$7+'Vstupní hodnoty'!Q$8*$L$8)</f>
        <v>10108.799999999999</v>
      </c>
      <c r="O54">
        <f t="shared" si="6"/>
        <v>24000</v>
      </c>
      <c r="P54">
        <f>(IF(K54&lt;14,0,IF(K54&lt;21,'Vstupní hodnoty'!N$4,IF(K54&lt;28,'Vstupní hodnoty'!N$5,IF(K54&lt;35,'Vstupní hodnoty'!N$6,'Vstupní hodnoty'!N$6))))+IF(K54&lt;14,0,IF(AR$15&lt;2,'Vstupní hodnoty'!O$6,IF(Model!AR$3&lt;3,'Vstupní hodnoty'!O$5,IF(Model!AR$3&lt;4,'Vstupní hodnoty'!O$4,0))))+'Vstupní hodnoty'!P$5)*L54++IF(K54&lt;21, 0, (C54-20)*'Vstupní hodnoty'!$O$5*'Vstupní hodnoty'!$A$17)*Vícenáklady!L54</f>
        <v>45552.01</v>
      </c>
      <c r="Q54">
        <f>('Vstupní hodnoty'!P$5+'Roční bonus alt 2'!D40)*L54+IF(K54&lt;21, 0, (C54-20)*'Vstupní hodnoty'!$O$5*'Vstupní hodnoty'!$A$17)*Vícenáklady!L54</f>
        <v>60805.333333333336</v>
      </c>
    </row>
    <row r="55" spans="3:17" x14ac:dyDescent="0.2">
      <c r="C55">
        <v>49</v>
      </c>
      <c r="D55">
        <v>0.5</v>
      </c>
      <c r="E55">
        <f>C55*(D55)*(0*$L$3+ 'Vstupní hodnoty'!H$4*$L$4+'Vstupní hodnoty'!H$5*$L$5+'Vstupní hodnoty'!H$6*$L$6+'Vstupní hodnoty'!H$7*$L$7+'Vstupní hodnoty'!H$8*$L$8)</f>
        <v>4248.3</v>
      </c>
      <c r="F55">
        <f>C55*(D55)*(0*0.25+'Vstupní hodnoty'!Q$4*0.2+'Vstupní hodnoty'!Q$5*0.25+'Vstupní hodnoty'!Q$6*0.15+'Vstupní hodnoty'!Q$7*0.1+'Vstupní hodnoty'!Q$8*0.05)</f>
        <v>5159.7</v>
      </c>
      <c r="G55">
        <f t="shared" si="5"/>
        <v>12000</v>
      </c>
      <c r="H55">
        <f>(IF(C55&lt;14,0,IF(C55&lt;21,'Vstupní hodnoty'!N$4,IF(C55&lt;28,'Vstupní hodnoty'!N$5,IF(C55&lt;35,'Vstupní hodnoty'!N$6,'Vstupní hodnoty'!N$6))))+IF(C55&lt;14,0,IF(AI$15&lt;2,'Vstupní hodnoty'!O$6,IF(Model!AI$3&lt;3,'Vstupní hodnoty'!O$5,IF(Model!AI$3&lt;4,'Vstupní hodnoty'!O$4,0))))+'Vstupní hodnoty'!P$5)*D55+IF(C55&lt;21, 0, (C55-20)*'Vstupní hodnoty'!$O$5*'Vstupní hodnoty'!$A$17)*Vícenáklady!D55</f>
        <v>22828.005000000001</v>
      </c>
      <c r="I55" s="5">
        <f>('Vstupní hodnoty'!P$5+'Roční bonus alt 2'!D41)*D55+IF(C55&lt;21, 0, (C55-20)*'Vstupní hodnoty'!$O$5*'Vstupní hodnoty'!$A$17)*Vícenáklady!D55</f>
        <v>31148</v>
      </c>
      <c r="K55">
        <v>49</v>
      </c>
      <c r="L55">
        <v>1</v>
      </c>
      <c r="M55">
        <f>K55*(L55)*(0*0.25+ 'Vstupní hodnoty'!H$4*0.2+'Vstupní hodnoty'!H$5*0.25+'Vstupní hodnoty'!H$6*0.15+'Vstupní hodnoty'!H$7*0.1+'Vstupní hodnoty'!H$8*0.05)</f>
        <v>8496.6</v>
      </c>
      <c r="N55">
        <f>K55*(L55)*(0*L$3+'Vstupní hodnoty'!Q$4*L$4+'Vstupní hodnoty'!Q$5*$L$5+'Vstupní hodnoty'!Q$6*$L$6+'Vstupní hodnoty'!Q$7*$L$7+'Vstupní hodnoty'!Q$8*$L$8)</f>
        <v>10319.4</v>
      </c>
      <c r="O55">
        <f t="shared" si="6"/>
        <v>24000</v>
      </c>
      <c r="P55">
        <f>(IF(K55&lt;14,0,IF(K55&lt;21,'Vstupní hodnoty'!N$4,IF(K55&lt;28,'Vstupní hodnoty'!N$5,IF(K55&lt;35,'Vstupní hodnoty'!N$6,'Vstupní hodnoty'!N$6))))+IF(K55&lt;14,0,IF(AR$15&lt;2,'Vstupní hodnoty'!O$6,IF(Model!AR$3&lt;3,'Vstupní hodnoty'!O$5,IF(Model!AR$3&lt;4,'Vstupní hodnoty'!O$4,0))))+'Vstupní hodnoty'!P$5)*L55++IF(K55&lt;21, 0, (C55-20)*'Vstupní hodnoty'!$O$5*'Vstupní hodnoty'!$A$17)*Vícenáklady!L55</f>
        <v>45656.01</v>
      </c>
      <c r="Q55">
        <f>('Vstupní hodnoty'!P$5+'Roční bonus alt 2'!D41)*L55+IF(K55&lt;21, 0, (C55-20)*'Vstupní hodnoty'!$O$5*'Vstupní hodnoty'!$A$17)*Vícenáklady!L55</f>
        <v>62296</v>
      </c>
    </row>
    <row r="56" spans="3:17" x14ac:dyDescent="0.2">
      <c r="C56">
        <v>50</v>
      </c>
      <c r="D56">
        <v>0.5</v>
      </c>
      <c r="E56">
        <f>C56*(D56)*(0*$L$3+ 'Vstupní hodnoty'!H$4*$L$4+'Vstupní hodnoty'!H$5*$L$5+'Vstupní hodnoty'!H$6*$L$6+'Vstupní hodnoty'!H$7*$L$7+'Vstupní hodnoty'!H$8*$L$8)</f>
        <v>4335</v>
      </c>
      <c r="F56">
        <f>C56*(D56)*(0*0.25+'Vstupní hodnoty'!Q$4*0.2+'Vstupní hodnoty'!Q$5*0.25+'Vstupní hodnoty'!Q$6*0.15+'Vstupní hodnoty'!Q$7*0.1+'Vstupní hodnoty'!Q$8*0.05)</f>
        <v>5265</v>
      </c>
      <c r="G56">
        <f t="shared" si="5"/>
        <v>12000</v>
      </c>
      <c r="H56">
        <f>(IF(C56&lt;14,0,IF(C56&lt;21,'Vstupní hodnoty'!N$4,IF(C56&lt;28,'Vstupní hodnoty'!N$5,IF(C56&lt;35,'Vstupní hodnoty'!N$6,'Vstupní hodnoty'!N$6))))+IF(C56&lt;14,0,IF(AI$15&lt;2,'Vstupní hodnoty'!O$6,IF(Model!AI$3&lt;3,'Vstupní hodnoty'!O$5,IF(Model!AI$3&lt;4,'Vstupní hodnoty'!O$4,0))))+'Vstupní hodnoty'!P$5)*D56+IF(C56&lt;21, 0, (C56-20)*'Vstupní hodnoty'!$O$5*'Vstupní hodnoty'!$A$17)*Vícenáklady!D56</f>
        <v>22880.005000000001</v>
      </c>
      <c r="I56" s="5">
        <f>('Vstupní hodnoty'!P$5+'Roční bonus alt 2'!D42)*D56+IF(C56&lt;21, 0, (C56-20)*'Vstupní hodnoty'!$O$5*'Vstupní hodnoty'!$A$17)*Vícenáklady!D56</f>
        <v>31893.333333333336</v>
      </c>
      <c r="K56">
        <v>50</v>
      </c>
      <c r="L56">
        <v>1</v>
      </c>
      <c r="M56">
        <f>K56*(L56)*(0*0.25+ 'Vstupní hodnoty'!H$4*0.2+'Vstupní hodnoty'!H$5*0.25+'Vstupní hodnoty'!H$6*0.15+'Vstupní hodnoty'!H$7*0.1+'Vstupní hodnoty'!H$8*0.05)</f>
        <v>8670</v>
      </c>
      <c r="N56">
        <f>K56*(L56)*(0*L$3+'Vstupní hodnoty'!Q$4*L$4+'Vstupní hodnoty'!Q$5*$L$5+'Vstupní hodnoty'!Q$6*$L$6+'Vstupní hodnoty'!Q$7*$L$7+'Vstupní hodnoty'!Q$8*$L$8)</f>
        <v>10530</v>
      </c>
      <c r="O56">
        <f t="shared" si="6"/>
        <v>24000</v>
      </c>
      <c r="P56">
        <f>(IF(K56&lt;14,0,IF(K56&lt;21,'Vstupní hodnoty'!N$4,IF(K56&lt;28,'Vstupní hodnoty'!N$5,IF(K56&lt;35,'Vstupní hodnoty'!N$6,'Vstupní hodnoty'!N$6))))+IF(K56&lt;14,0,IF(AR$15&lt;2,'Vstupní hodnoty'!O$6,IF(Model!AR$3&lt;3,'Vstupní hodnoty'!O$5,IF(Model!AR$3&lt;4,'Vstupní hodnoty'!O$4,0))))+'Vstupní hodnoty'!P$5)*L56++IF(K56&lt;21, 0, (C56-20)*'Vstupní hodnoty'!$O$5*'Vstupní hodnoty'!$A$17)*Vícenáklady!L56</f>
        <v>45760.01</v>
      </c>
      <c r="Q56">
        <f>('Vstupní hodnoty'!P$5+'Roční bonus alt 2'!D42)*L56+IF(K56&lt;21, 0, (C56-20)*'Vstupní hodnoty'!$O$5*'Vstupní hodnoty'!$A$17)*Vícenáklady!L56</f>
        <v>63786.666666666672</v>
      </c>
    </row>
    <row r="57" spans="3:17" x14ac:dyDescent="0.2">
      <c r="C57">
        <v>51</v>
      </c>
      <c r="D57">
        <v>0.5</v>
      </c>
      <c r="E57">
        <f>C57*(D57)*(0*$L$3+ 'Vstupní hodnoty'!H$4*$L$4+'Vstupní hodnoty'!H$5*$L$5+'Vstupní hodnoty'!H$6*$L$6+'Vstupní hodnoty'!H$7*$L$7+'Vstupní hodnoty'!H$8*$L$8)</f>
        <v>4421.7</v>
      </c>
      <c r="F57">
        <f>C57*(D57)*(0*0.25+'Vstupní hodnoty'!Q$4*0.2+'Vstupní hodnoty'!Q$5*0.25+'Vstupní hodnoty'!Q$6*0.15+'Vstupní hodnoty'!Q$7*0.1+'Vstupní hodnoty'!Q$8*0.05)</f>
        <v>5370.3</v>
      </c>
      <c r="G57">
        <f t="shared" si="5"/>
        <v>12000</v>
      </c>
      <c r="H57">
        <f>(IF(C57&lt;14,0,IF(C57&lt;21,'Vstupní hodnoty'!N$4,IF(C57&lt;28,'Vstupní hodnoty'!N$5,IF(C57&lt;35,'Vstupní hodnoty'!N$6,'Vstupní hodnoty'!N$6))))+IF(C57&lt;14,0,IF(AI$15&lt;2,'Vstupní hodnoty'!O$6,IF(Model!AI$3&lt;3,'Vstupní hodnoty'!O$5,IF(Model!AI$3&lt;4,'Vstupní hodnoty'!O$4,0))))+'Vstupní hodnoty'!P$5)*D57+IF(C57&lt;21, 0, (C57-20)*'Vstupní hodnoty'!$O$5*'Vstupní hodnoty'!$A$17)*Vícenáklady!D57</f>
        <v>22932.005000000001</v>
      </c>
      <c r="I57" s="5">
        <f>('Vstupní hodnoty'!P$5+'Roční bonus alt 2'!D43)*D57+IF(C57&lt;21, 0, (C57-20)*'Vstupní hodnoty'!$O$5*'Vstupní hodnoty'!$A$17)*Vícenáklady!D57</f>
        <v>32638.666666666668</v>
      </c>
      <c r="K57">
        <v>51</v>
      </c>
      <c r="L57">
        <v>1</v>
      </c>
      <c r="M57">
        <f>K57*(L57)*(0*0.25+ 'Vstupní hodnoty'!H$4*0.2+'Vstupní hodnoty'!H$5*0.25+'Vstupní hodnoty'!H$6*0.15+'Vstupní hodnoty'!H$7*0.1+'Vstupní hodnoty'!H$8*0.05)</f>
        <v>8843.4</v>
      </c>
      <c r="N57">
        <f>K57*(L57)*(0*L$3+'Vstupní hodnoty'!Q$4*L$4+'Vstupní hodnoty'!Q$5*$L$5+'Vstupní hodnoty'!Q$6*$L$6+'Vstupní hodnoty'!Q$7*$L$7+'Vstupní hodnoty'!Q$8*$L$8)</f>
        <v>10740.6</v>
      </c>
      <c r="O57">
        <f t="shared" si="6"/>
        <v>24000</v>
      </c>
      <c r="P57">
        <f>(IF(K57&lt;14,0,IF(K57&lt;21,'Vstupní hodnoty'!N$4,IF(K57&lt;28,'Vstupní hodnoty'!N$5,IF(K57&lt;35,'Vstupní hodnoty'!N$6,'Vstupní hodnoty'!N$6))))+IF(K57&lt;14,0,IF(AR$15&lt;2,'Vstupní hodnoty'!O$6,IF(Model!AR$3&lt;3,'Vstupní hodnoty'!O$5,IF(Model!AR$3&lt;4,'Vstupní hodnoty'!O$4,0))))+'Vstupní hodnoty'!P$5)*L57++IF(K57&lt;21, 0, (C57-20)*'Vstupní hodnoty'!$O$5*'Vstupní hodnoty'!$A$17)*Vícenáklady!L57</f>
        <v>45864.01</v>
      </c>
      <c r="Q57">
        <f>('Vstupní hodnoty'!P$5+'Roční bonus alt 2'!D43)*L57+IF(K57&lt;21, 0, (C57-20)*'Vstupní hodnoty'!$O$5*'Vstupní hodnoty'!$A$17)*Vícenáklady!L57</f>
        <v>65277.333333333336</v>
      </c>
    </row>
    <row r="58" spans="3:17" x14ac:dyDescent="0.2">
      <c r="C58">
        <v>52</v>
      </c>
      <c r="D58">
        <v>0.5</v>
      </c>
      <c r="E58">
        <f>C58*(D58)*(0*$L$3+ 'Vstupní hodnoty'!H$4*$L$4+'Vstupní hodnoty'!H$5*$L$5+'Vstupní hodnoty'!H$6*$L$6+'Vstupní hodnoty'!H$7*$L$7+'Vstupní hodnoty'!H$8*$L$8)</f>
        <v>4508.4000000000005</v>
      </c>
      <c r="F58">
        <f>C58*(D58)*(0*0.25+'Vstupní hodnoty'!Q$4*0.2+'Vstupní hodnoty'!Q$5*0.25+'Vstupní hodnoty'!Q$6*0.15+'Vstupní hodnoty'!Q$7*0.1+'Vstupní hodnoty'!Q$8*0.05)</f>
        <v>5475.5999999999995</v>
      </c>
      <c r="G58">
        <f t="shared" si="5"/>
        <v>12000</v>
      </c>
      <c r="H58">
        <f>(IF(C58&lt;14,0,IF(C58&lt;21,'Vstupní hodnoty'!N$4,IF(C58&lt;28,'Vstupní hodnoty'!N$5,IF(C58&lt;35,'Vstupní hodnoty'!N$6,'Vstupní hodnoty'!N$6))))+IF(C58&lt;14,0,IF(AI$15&lt;2,'Vstupní hodnoty'!O$6,IF(Model!AI$3&lt;3,'Vstupní hodnoty'!O$5,IF(Model!AI$3&lt;4,'Vstupní hodnoty'!O$4,0))))+'Vstupní hodnoty'!P$5)*D58+IF(C58&lt;21, 0, (C58-20)*'Vstupní hodnoty'!$O$5*'Vstupní hodnoty'!$A$17)*Vícenáklady!D58</f>
        <v>22984.005000000001</v>
      </c>
      <c r="I58" s="5">
        <f>('Vstupní hodnoty'!P$5+'Roční bonus alt 2'!D44)*D58+IF(C58&lt;21, 0, (C58-20)*'Vstupní hodnoty'!$O$5*'Vstupní hodnoty'!$A$17)*Vícenáklady!D58</f>
        <v>33384</v>
      </c>
      <c r="K58">
        <v>52</v>
      </c>
      <c r="L58">
        <v>1</v>
      </c>
      <c r="M58">
        <f>K58*(L58)*(0*0.25+ 'Vstupní hodnoty'!H$4*0.2+'Vstupní hodnoty'!H$5*0.25+'Vstupní hodnoty'!H$6*0.15+'Vstupní hodnoty'!H$7*0.1+'Vstupní hodnoty'!H$8*0.05)</f>
        <v>9016.8000000000011</v>
      </c>
      <c r="N58">
        <f>K58*(L58)*(0*L$3+'Vstupní hodnoty'!Q$4*L$4+'Vstupní hodnoty'!Q$5*$L$5+'Vstupní hodnoty'!Q$6*$L$6+'Vstupní hodnoty'!Q$7*$L$7+'Vstupní hodnoty'!Q$8*$L$8)</f>
        <v>10951.199999999999</v>
      </c>
      <c r="O58">
        <f t="shared" si="6"/>
        <v>24000</v>
      </c>
      <c r="P58">
        <f>(IF(K58&lt;14,0,IF(K58&lt;21,'Vstupní hodnoty'!N$4,IF(K58&lt;28,'Vstupní hodnoty'!N$5,IF(K58&lt;35,'Vstupní hodnoty'!N$6,'Vstupní hodnoty'!N$6))))+IF(K58&lt;14,0,IF(AR$15&lt;2,'Vstupní hodnoty'!O$6,IF(Model!AR$3&lt;3,'Vstupní hodnoty'!O$5,IF(Model!AR$3&lt;4,'Vstupní hodnoty'!O$4,0))))+'Vstupní hodnoty'!P$5)*L58++IF(K58&lt;21, 0, (C58-20)*'Vstupní hodnoty'!$O$5*'Vstupní hodnoty'!$A$17)*Vícenáklady!L58</f>
        <v>45968.01</v>
      </c>
      <c r="Q58">
        <f>('Vstupní hodnoty'!P$5+'Roční bonus alt 2'!D44)*L58+IF(K58&lt;21, 0, (C58-20)*'Vstupní hodnoty'!$O$5*'Vstupní hodnoty'!$A$17)*Vícenáklady!L58</f>
        <v>66768</v>
      </c>
    </row>
    <row r="59" spans="3:17" x14ac:dyDescent="0.2">
      <c r="C59">
        <v>53</v>
      </c>
      <c r="D59">
        <v>0.5</v>
      </c>
      <c r="E59">
        <f>C59*(D59)*(0*$L$3+ 'Vstupní hodnoty'!H$4*$L$4+'Vstupní hodnoty'!H$5*$L$5+'Vstupní hodnoty'!H$6*$L$6+'Vstupní hodnoty'!H$7*$L$7+'Vstupní hodnoty'!H$8*$L$8)</f>
        <v>4595.1000000000004</v>
      </c>
      <c r="F59">
        <f>C59*(D59)*(0*0.25+'Vstupní hodnoty'!Q$4*0.2+'Vstupní hodnoty'!Q$5*0.25+'Vstupní hodnoty'!Q$6*0.15+'Vstupní hodnoty'!Q$7*0.1+'Vstupní hodnoty'!Q$8*0.05)</f>
        <v>5580.9</v>
      </c>
      <c r="G59">
        <f t="shared" si="5"/>
        <v>12000</v>
      </c>
      <c r="H59">
        <f>(IF(C59&lt;14,0,IF(C59&lt;21,'Vstupní hodnoty'!N$4,IF(C59&lt;28,'Vstupní hodnoty'!N$5,IF(C59&lt;35,'Vstupní hodnoty'!N$6,'Vstupní hodnoty'!N$6))))+IF(C59&lt;14,0,IF(AI$15&lt;2,'Vstupní hodnoty'!O$6,IF(Model!AI$3&lt;3,'Vstupní hodnoty'!O$5,IF(Model!AI$3&lt;4,'Vstupní hodnoty'!O$4,0))))+'Vstupní hodnoty'!P$5)*D59+IF(C59&lt;21, 0, (C59-20)*'Vstupní hodnoty'!$O$5*'Vstupní hodnoty'!$A$17)*Vícenáklady!D59</f>
        <v>23036.005000000001</v>
      </c>
      <c r="I59" s="5">
        <f>('Vstupní hodnoty'!P$5+'Roční bonus alt 2'!D45)*D59+IF(C59&lt;21, 0, (C59-20)*'Vstupní hodnoty'!$O$5*'Vstupní hodnoty'!$A$17)*Vícenáklady!D59</f>
        <v>34129.333333333328</v>
      </c>
      <c r="K59">
        <v>53</v>
      </c>
      <c r="L59">
        <v>1</v>
      </c>
      <c r="M59">
        <f>K59*(L59)*(0*0.25+ 'Vstupní hodnoty'!H$4*0.2+'Vstupní hodnoty'!H$5*0.25+'Vstupní hodnoty'!H$6*0.15+'Vstupní hodnoty'!H$7*0.1+'Vstupní hodnoty'!H$8*0.05)</f>
        <v>9190.2000000000007</v>
      </c>
      <c r="N59">
        <f>K59*(L59)*(0*L$3+'Vstupní hodnoty'!Q$4*L$4+'Vstupní hodnoty'!Q$5*$L$5+'Vstupní hodnoty'!Q$6*$L$6+'Vstupní hodnoty'!Q$7*$L$7+'Vstupní hodnoty'!Q$8*$L$8)</f>
        <v>11161.8</v>
      </c>
      <c r="O59">
        <f t="shared" si="6"/>
        <v>24000</v>
      </c>
      <c r="P59">
        <f>(IF(K59&lt;14,0,IF(K59&lt;21,'Vstupní hodnoty'!N$4,IF(K59&lt;28,'Vstupní hodnoty'!N$5,IF(K59&lt;35,'Vstupní hodnoty'!N$6,'Vstupní hodnoty'!N$6))))+IF(K59&lt;14,0,IF(AR$15&lt;2,'Vstupní hodnoty'!O$6,IF(Model!AR$3&lt;3,'Vstupní hodnoty'!O$5,IF(Model!AR$3&lt;4,'Vstupní hodnoty'!O$4,0))))+'Vstupní hodnoty'!P$5)*L59++IF(K59&lt;21, 0, (C59-20)*'Vstupní hodnoty'!$O$5*'Vstupní hodnoty'!$A$17)*Vícenáklady!L59</f>
        <v>46072.01</v>
      </c>
      <c r="Q59">
        <f>('Vstupní hodnoty'!P$5+'Roční bonus alt 2'!D45)*L59+IF(K59&lt;21, 0, (C59-20)*'Vstupní hodnoty'!$O$5*'Vstupní hodnoty'!$A$17)*Vícenáklady!L59</f>
        <v>68258.666666666657</v>
      </c>
    </row>
    <row r="60" spans="3:17" x14ac:dyDescent="0.2">
      <c r="C60">
        <v>54</v>
      </c>
      <c r="D60">
        <v>0.5</v>
      </c>
      <c r="E60">
        <f>C60*(D60)*(0*$L$3+ 'Vstupní hodnoty'!H$4*$L$4+'Vstupní hodnoty'!H$5*$L$5+'Vstupní hodnoty'!H$6*$L$6+'Vstupní hodnoty'!H$7*$L$7+'Vstupní hodnoty'!H$8*$L$8)</f>
        <v>4681.8</v>
      </c>
      <c r="F60">
        <f>C60*(D60)*(0*0.25+'Vstupní hodnoty'!Q$4*0.2+'Vstupní hodnoty'!Q$5*0.25+'Vstupní hodnoty'!Q$6*0.15+'Vstupní hodnoty'!Q$7*0.1+'Vstupní hodnoty'!Q$8*0.05)</f>
        <v>5686.2</v>
      </c>
      <c r="G60">
        <f t="shared" si="5"/>
        <v>12000</v>
      </c>
      <c r="H60">
        <f>(IF(C60&lt;14,0,IF(C60&lt;21,'Vstupní hodnoty'!N$4,IF(C60&lt;28,'Vstupní hodnoty'!N$5,IF(C60&lt;35,'Vstupní hodnoty'!N$6,'Vstupní hodnoty'!N$6))))+IF(C60&lt;14,0,IF(AI$15&lt;2,'Vstupní hodnoty'!O$6,IF(Model!AI$3&lt;3,'Vstupní hodnoty'!O$5,IF(Model!AI$3&lt;4,'Vstupní hodnoty'!O$4,0))))+'Vstupní hodnoty'!P$5)*D60+IF(C60&lt;21, 0, (C60-20)*'Vstupní hodnoty'!$O$5*'Vstupní hodnoty'!$A$17)*Vícenáklady!D60</f>
        <v>23088.005000000001</v>
      </c>
      <c r="I60" s="5">
        <f>('Vstupní hodnoty'!P$5+'Roční bonus alt 2'!D46)*D60+IF(C60&lt;21, 0, (C60-20)*'Vstupní hodnoty'!$O$5*'Vstupní hodnoty'!$A$17)*Vícenáklady!D60</f>
        <v>34874.666666666672</v>
      </c>
      <c r="K60">
        <v>54</v>
      </c>
      <c r="L60">
        <v>1</v>
      </c>
      <c r="M60">
        <f>K60*(L60)*(0*0.25+ 'Vstupní hodnoty'!H$4*0.2+'Vstupní hodnoty'!H$5*0.25+'Vstupní hodnoty'!H$6*0.15+'Vstupní hodnoty'!H$7*0.1+'Vstupní hodnoty'!H$8*0.05)</f>
        <v>9363.6</v>
      </c>
      <c r="N60">
        <f>K60*(L60)*(0*L$3+'Vstupní hodnoty'!Q$4*L$4+'Vstupní hodnoty'!Q$5*$L$5+'Vstupní hodnoty'!Q$6*$L$6+'Vstupní hodnoty'!Q$7*$L$7+'Vstupní hodnoty'!Q$8*$L$8)</f>
        <v>11372.4</v>
      </c>
      <c r="O60">
        <f t="shared" si="6"/>
        <v>24000</v>
      </c>
      <c r="P60">
        <f>(IF(K60&lt;14,0,IF(K60&lt;21,'Vstupní hodnoty'!N$4,IF(K60&lt;28,'Vstupní hodnoty'!N$5,IF(K60&lt;35,'Vstupní hodnoty'!N$6,'Vstupní hodnoty'!N$6))))+IF(K60&lt;14,0,IF(AR$15&lt;2,'Vstupní hodnoty'!O$6,IF(Model!AR$3&lt;3,'Vstupní hodnoty'!O$5,IF(Model!AR$3&lt;4,'Vstupní hodnoty'!O$4,0))))+'Vstupní hodnoty'!P$5)*L60++IF(K60&lt;21, 0, (C60-20)*'Vstupní hodnoty'!$O$5*'Vstupní hodnoty'!$A$17)*Vícenáklady!L60</f>
        <v>46176.01</v>
      </c>
      <c r="Q60">
        <f>('Vstupní hodnoty'!P$5+'Roční bonus alt 2'!D46)*L60+IF(K60&lt;21, 0, (C60-20)*'Vstupní hodnoty'!$O$5*'Vstupní hodnoty'!$A$17)*Vícenáklady!L60</f>
        <v>69749.333333333343</v>
      </c>
    </row>
    <row r="61" spans="3:17" x14ac:dyDescent="0.2">
      <c r="C61">
        <v>55</v>
      </c>
      <c r="D61">
        <v>0.5</v>
      </c>
      <c r="E61">
        <f>C61*(D61)*(0*$L$3+ 'Vstupní hodnoty'!H$4*$L$4+'Vstupní hodnoty'!H$5*$L$5+'Vstupní hodnoty'!H$6*$L$6+'Vstupní hodnoty'!H$7*$L$7+'Vstupní hodnoty'!H$8*$L$8)</f>
        <v>4768.5</v>
      </c>
      <c r="F61">
        <f>C61*(D61)*(0*0.25+'Vstupní hodnoty'!Q$4*0.2+'Vstupní hodnoty'!Q$5*0.25+'Vstupní hodnoty'!Q$6*0.15+'Vstupní hodnoty'!Q$7*0.1+'Vstupní hodnoty'!Q$8*0.05)</f>
        <v>5791.5</v>
      </c>
      <c r="G61">
        <f t="shared" si="5"/>
        <v>12000</v>
      </c>
      <c r="H61">
        <f>(IF(C61&lt;14,0,IF(C61&lt;21,'Vstupní hodnoty'!N$4,IF(C61&lt;28,'Vstupní hodnoty'!N$5,IF(C61&lt;35,'Vstupní hodnoty'!N$6,'Vstupní hodnoty'!N$6))))+IF(C61&lt;14,0,IF(AI$15&lt;2,'Vstupní hodnoty'!O$6,IF(Model!AI$3&lt;3,'Vstupní hodnoty'!O$5,IF(Model!AI$3&lt;4,'Vstupní hodnoty'!O$4,0))))+'Vstupní hodnoty'!P$5)*D61+IF(C61&lt;21, 0, (C61-20)*'Vstupní hodnoty'!$O$5*'Vstupní hodnoty'!$A$17)*Vícenáklady!D61</f>
        <v>23140.005000000001</v>
      </c>
      <c r="I61" s="5">
        <f>('Vstupní hodnoty'!P$5+'Roční bonus alt 2'!D47)*D61+IF(C61&lt;21, 0, (C61-20)*'Vstupní hodnoty'!$O$5*'Vstupní hodnoty'!$A$17)*Vícenáklady!D61</f>
        <v>35620</v>
      </c>
      <c r="K61">
        <v>55</v>
      </c>
      <c r="L61">
        <v>1</v>
      </c>
      <c r="M61">
        <f>K61*(L61)*(0*0.25+ 'Vstupní hodnoty'!H$4*0.2+'Vstupní hodnoty'!H$5*0.25+'Vstupní hodnoty'!H$6*0.15+'Vstupní hodnoty'!H$7*0.1+'Vstupní hodnoty'!H$8*0.05)</f>
        <v>9537</v>
      </c>
      <c r="N61">
        <f>K61*(L61)*(0*L$3+'Vstupní hodnoty'!Q$4*L$4+'Vstupní hodnoty'!Q$5*$L$5+'Vstupní hodnoty'!Q$6*$L$6+'Vstupní hodnoty'!Q$7*$L$7+'Vstupní hodnoty'!Q$8*$L$8)</f>
        <v>11583</v>
      </c>
      <c r="O61">
        <f t="shared" si="6"/>
        <v>24000</v>
      </c>
      <c r="P61">
        <f>(IF(K61&lt;14,0,IF(K61&lt;21,'Vstupní hodnoty'!N$4,IF(K61&lt;28,'Vstupní hodnoty'!N$5,IF(K61&lt;35,'Vstupní hodnoty'!N$6,'Vstupní hodnoty'!N$6))))+IF(K61&lt;14,0,IF(AR$15&lt;2,'Vstupní hodnoty'!O$6,IF(Model!AR$3&lt;3,'Vstupní hodnoty'!O$5,IF(Model!AR$3&lt;4,'Vstupní hodnoty'!O$4,0))))+'Vstupní hodnoty'!P$5)*L61++IF(K61&lt;21, 0, (C61-20)*'Vstupní hodnoty'!$O$5*'Vstupní hodnoty'!$A$17)*Vícenáklady!L61</f>
        <v>46280.01</v>
      </c>
      <c r="Q61">
        <f>('Vstupní hodnoty'!P$5+'Roční bonus alt 2'!D47)*L61+IF(K61&lt;21, 0, (C61-20)*'Vstupní hodnoty'!$O$5*'Vstupní hodnoty'!$A$17)*Vícenáklady!L61</f>
        <v>71240</v>
      </c>
    </row>
    <row r="62" spans="3:17" x14ac:dyDescent="0.2">
      <c r="C62">
        <v>56</v>
      </c>
      <c r="D62">
        <v>0.25</v>
      </c>
      <c r="E62">
        <f>C62*(D62)*(0*$L$3+ 'Vstupní hodnoty'!H$4*$L$4+'Vstupní hodnoty'!H$5*$L$5+'Vstupní hodnoty'!H$6*$L$6+'Vstupní hodnoty'!H$7*$L$7+'Vstupní hodnoty'!H$8*$L$8)</f>
        <v>2427.6</v>
      </c>
      <c r="F62">
        <f>C62*(D62)*(0*0.25+'Vstupní hodnoty'!Q$4*0.2+'Vstupní hodnoty'!Q$5*0.25+'Vstupní hodnoty'!Q$6*0.15+'Vstupní hodnoty'!Q$7*0.1+'Vstupní hodnoty'!Q$8*0.05)</f>
        <v>2948.4</v>
      </c>
      <c r="G62">
        <f t="shared" si="5"/>
        <v>6000</v>
      </c>
      <c r="H62">
        <f>(IF(C62&lt;14,0,IF(C62&lt;21,'Vstupní hodnoty'!N$4,IF(C62&lt;28,'Vstupní hodnoty'!N$5,IF(C62&lt;35,'Vstupní hodnoty'!N$6,'Vstupní hodnoty'!N$6))))+IF(C62&lt;14,0,IF(AI$15&lt;2,'Vstupní hodnoty'!O$6,IF(Model!AI$3&lt;3,'Vstupní hodnoty'!O$5,IF(Model!AI$3&lt;4,'Vstupní hodnoty'!O$4,0))))+'Vstupní hodnoty'!P$5)*D62+IF(C62&lt;21, 0, (C62-20)*'Vstupní hodnoty'!$O$5*'Vstupní hodnoty'!$A$17)*Vícenáklady!D62</f>
        <v>11596.002500000001</v>
      </c>
      <c r="I62" s="5">
        <f>('Vstupní hodnoty'!P$5+'Roční bonus alt 2'!D48)*D62+IF(C62&lt;21, 0, (C62-20)*'Vstupní hodnoty'!$O$5*'Vstupní hodnoty'!$A$17)*Vícenáklady!D62</f>
        <v>18182.666666666664</v>
      </c>
      <c r="K62">
        <v>56</v>
      </c>
      <c r="L62">
        <v>0.5</v>
      </c>
      <c r="M62">
        <f>K62*(L62)*(0*0.25+ 'Vstupní hodnoty'!H$4*0.2+'Vstupní hodnoty'!H$5*0.25+'Vstupní hodnoty'!H$6*0.15+'Vstupní hodnoty'!H$7*0.1+'Vstupní hodnoty'!H$8*0.05)</f>
        <v>4855.2</v>
      </c>
      <c r="N62">
        <f>K62*(L62)*(0*L$3+'Vstupní hodnoty'!Q$4*L$4+'Vstupní hodnoty'!Q$5*$L$5+'Vstupní hodnoty'!Q$6*$L$6+'Vstupní hodnoty'!Q$7*$L$7+'Vstupní hodnoty'!Q$8*$L$8)</f>
        <v>5896.8</v>
      </c>
      <c r="O62">
        <f t="shared" si="6"/>
        <v>12000</v>
      </c>
      <c r="P62">
        <f>(IF(K62&lt;14,0,IF(K62&lt;21,'Vstupní hodnoty'!N$4,IF(K62&lt;28,'Vstupní hodnoty'!N$5,IF(K62&lt;35,'Vstupní hodnoty'!N$6,'Vstupní hodnoty'!N$6))))+IF(K62&lt;14,0,IF(AR$15&lt;2,'Vstupní hodnoty'!O$6,IF(Model!AR$3&lt;3,'Vstupní hodnoty'!O$5,IF(Model!AR$3&lt;4,'Vstupní hodnoty'!O$4,0))))+'Vstupní hodnoty'!P$5)*L62++IF(K62&lt;21, 0, (C62-20)*'Vstupní hodnoty'!$O$5*'Vstupní hodnoty'!$A$17)*Vícenáklady!L62</f>
        <v>23192.005000000001</v>
      </c>
      <c r="Q62">
        <f>('Vstupní hodnoty'!P$5+'Roční bonus alt 2'!D48)*L62+IF(K62&lt;21, 0, (C62-20)*'Vstupní hodnoty'!$O$5*'Vstupní hodnoty'!$A$17)*Vícenáklady!L62</f>
        <v>36365.333333333328</v>
      </c>
    </row>
    <row r="63" spans="3:17" x14ac:dyDescent="0.2">
      <c r="C63">
        <v>57</v>
      </c>
      <c r="D63">
        <v>0.25</v>
      </c>
      <c r="E63">
        <f>C63*(D63)*(0*$L$3+ 'Vstupní hodnoty'!H$4*$L$4+'Vstupní hodnoty'!H$5*$L$5+'Vstupní hodnoty'!H$6*$L$6+'Vstupní hodnoty'!H$7*$L$7+'Vstupní hodnoty'!H$8*$L$8)</f>
        <v>2470.9500000000003</v>
      </c>
      <c r="F63">
        <f>C63*(D63)*(0*0.25+'Vstupní hodnoty'!Q$4*0.2+'Vstupní hodnoty'!Q$5*0.25+'Vstupní hodnoty'!Q$6*0.15+'Vstupní hodnoty'!Q$7*0.1+'Vstupní hodnoty'!Q$8*0.05)</f>
        <v>3001.0499999999997</v>
      </c>
      <c r="G63">
        <f t="shared" si="5"/>
        <v>6000</v>
      </c>
      <c r="H63">
        <f>(IF(C63&lt;14,0,IF(C63&lt;21,'Vstupní hodnoty'!N$4,IF(C63&lt;28,'Vstupní hodnoty'!N$5,IF(C63&lt;35,'Vstupní hodnoty'!N$6,'Vstupní hodnoty'!N$6))))+IF(C63&lt;14,0,IF(AI$15&lt;2,'Vstupní hodnoty'!O$6,IF(Model!AI$3&lt;3,'Vstupní hodnoty'!O$5,IF(Model!AI$3&lt;4,'Vstupní hodnoty'!O$4,0))))+'Vstupní hodnoty'!P$5)*D63+IF(C63&lt;21, 0, (C63-20)*'Vstupní hodnoty'!$O$5*'Vstupní hodnoty'!$A$17)*Vícenáklady!D63</f>
        <v>11622.002500000001</v>
      </c>
      <c r="I63" s="5">
        <f>('Vstupní hodnoty'!P$5+'Roční bonus alt 2'!D49)*D63+IF(C63&lt;21, 0, (C63-20)*'Vstupní hodnoty'!$O$5*'Vstupní hodnoty'!$A$17)*Vícenáklady!D63</f>
        <v>18555.333333333336</v>
      </c>
      <c r="K63">
        <v>57</v>
      </c>
      <c r="L63">
        <v>0.5</v>
      </c>
      <c r="M63">
        <f>K63*(L63)*(0*0.25+ 'Vstupní hodnoty'!H$4*0.2+'Vstupní hodnoty'!H$5*0.25+'Vstupní hodnoty'!H$6*0.15+'Vstupní hodnoty'!H$7*0.1+'Vstupní hodnoty'!H$8*0.05)</f>
        <v>4941.9000000000005</v>
      </c>
      <c r="N63">
        <f>K63*(L63)*(0*L$3+'Vstupní hodnoty'!Q$4*L$4+'Vstupní hodnoty'!Q$5*$L$5+'Vstupní hodnoty'!Q$6*$L$6+'Vstupní hodnoty'!Q$7*$L$7+'Vstupní hodnoty'!Q$8*$L$8)</f>
        <v>6002.0999999999995</v>
      </c>
      <c r="O63">
        <f t="shared" si="6"/>
        <v>12000</v>
      </c>
      <c r="P63">
        <f>(IF(K63&lt;14,0,IF(K63&lt;21,'Vstupní hodnoty'!N$4,IF(K63&lt;28,'Vstupní hodnoty'!N$5,IF(K63&lt;35,'Vstupní hodnoty'!N$6,'Vstupní hodnoty'!N$6))))+IF(K63&lt;14,0,IF(AR$15&lt;2,'Vstupní hodnoty'!O$6,IF(Model!AR$3&lt;3,'Vstupní hodnoty'!O$5,IF(Model!AR$3&lt;4,'Vstupní hodnoty'!O$4,0))))+'Vstupní hodnoty'!P$5)*L63++IF(K63&lt;21, 0, (C63-20)*'Vstupní hodnoty'!$O$5*'Vstupní hodnoty'!$A$17)*Vícenáklady!L63</f>
        <v>23244.005000000001</v>
      </c>
      <c r="Q63">
        <f>('Vstupní hodnoty'!P$5+'Roční bonus alt 2'!D49)*L63+IF(K63&lt;21, 0, (C63-20)*'Vstupní hodnoty'!$O$5*'Vstupní hodnoty'!$A$17)*Vícenáklady!L63</f>
        <v>37110.666666666672</v>
      </c>
    </row>
    <row r="64" spans="3:17" x14ac:dyDescent="0.2">
      <c r="C64">
        <v>58</v>
      </c>
      <c r="D64">
        <v>0.25</v>
      </c>
      <c r="E64">
        <f>C64*(D64)*(0*$L$3+ 'Vstupní hodnoty'!H$4*$L$4+'Vstupní hodnoty'!H$5*$L$5+'Vstupní hodnoty'!H$6*$L$6+'Vstupní hodnoty'!H$7*$L$7+'Vstupní hodnoty'!H$8*$L$8)</f>
        <v>2514.3000000000002</v>
      </c>
      <c r="F64">
        <f>C64*(D64)*(0*0.25+'Vstupní hodnoty'!Q$4*0.2+'Vstupní hodnoty'!Q$5*0.25+'Vstupní hodnoty'!Q$6*0.15+'Vstupní hodnoty'!Q$7*0.1+'Vstupní hodnoty'!Q$8*0.05)</f>
        <v>3053.7</v>
      </c>
      <c r="G64">
        <f t="shared" si="5"/>
        <v>6000</v>
      </c>
      <c r="H64">
        <f>(IF(C64&lt;14,0,IF(C64&lt;21,'Vstupní hodnoty'!N$4,IF(C64&lt;28,'Vstupní hodnoty'!N$5,IF(C64&lt;35,'Vstupní hodnoty'!N$6,'Vstupní hodnoty'!N$6))))+IF(C64&lt;14,0,IF(AI$15&lt;2,'Vstupní hodnoty'!O$6,IF(Model!AI$3&lt;3,'Vstupní hodnoty'!O$5,IF(Model!AI$3&lt;4,'Vstupní hodnoty'!O$4,0))))+'Vstupní hodnoty'!P$5)*D64+IF(C64&lt;21, 0, (C64-20)*'Vstupní hodnoty'!$O$5*'Vstupní hodnoty'!$A$17)*Vícenáklady!D64</f>
        <v>11648.002500000001</v>
      </c>
      <c r="I64" s="5">
        <f>('Vstupní hodnoty'!P$5+'Roční bonus alt 2'!D50)*D64+IF(C64&lt;21, 0, (C64-20)*'Vstupní hodnoty'!$O$5*'Vstupní hodnoty'!$A$17)*Vícenáklady!D64</f>
        <v>18928</v>
      </c>
      <c r="K64">
        <v>58</v>
      </c>
      <c r="L64">
        <v>0.5</v>
      </c>
      <c r="M64">
        <f>K64*(L64)*(0*0.25+ 'Vstupní hodnoty'!H$4*0.2+'Vstupní hodnoty'!H$5*0.25+'Vstupní hodnoty'!H$6*0.15+'Vstupní hodnoty'!H$7*0.1+'Vstupní hodnoty'!H$8*0.05)</f>
        <v>5028.6000000000004</v>
      </c>
      <c r="N64">
        <f>K64*(L64)*(0*L$3+'Vstupní hodnoty'!Q$4*L$4+'Vstupní hodnoty'!Q$5*$L$5+'Vstupní hodnoty'!Q$6*$L$6+'Vstupní hodnoty'!Q$7*$L$7+'Vstupní hodnoty'!Q$8*$L$8)</f>
        <v>6107.4</v>
      </c>
      <c r="O64">
        <f t="shared" si="6"/>
        <v>12000</v>
      </c>
      <c r="P64">
        <f>(IF(K64&lt;14,0,IF(K64&lt;21,'Vstupní hodnoty'!N$4,IF(K64&lt;28,'Vstupní hodnoty'!N$5,IF(K64&lt;35,'Vstupní hodnoty'!N$6,'Vstupní hodnoty'!N$6))))+IF(K64&lt;14,0,IF(AR$15&lt;2,'Vstupní hodnoty'!O$6,IF(Model!AR$3&lt;3,'Vstupní hodnoty'!O$5,IF(Model!AR$3&lt;4,'Vstupní hodnoty'!O$4,0))))+'Vstupní hodnoty'!P$5)*L64++IF(K64&lt;21, 0, (C64-20)*'Vstupní hodnoty'!$O$5*'Vstupní hodnoty'!$A$17)*Vícenáklady!L64</f>
        <v>23296.005000000001</v>
      </c>
      <c r="Q64">
        <f>('Vstupní hodnoty'!P$5+'Roční bonus alt 2'!D50)*L64+IF(K64&lt;21, 0, (C64-20)*'Vstupní hodnoty'!$O$5*'Vstupní hodnoty'!$A$17)*Vícenáklady!L64</f>
        <v>37856</v>
      </c>
    </row>
    <row r="65" spans="3:17" x14ac:dyDescent="0.2">
      <c r="C65">
        <v>59</v>
      </c>
      <c r="D65">
        <v>0.25</v>
      </c>
      <c r="E65">
        <f>C65*(D65)*(0*$L$3+ 'Vstupní hodnoty'!H$4*$L$4+'Vstupní hodnoty'!H$5*$L$5+'Vstupní hodnoty'!H$6*$L$6+'Vstupní hodnoty'!H$7*$L$7+'Vstupní hodnoty'!H$8*$L$8)</f>
        <v>2557.65</v>
      </c>
      <c r="F65">
        <f>C65*(D65)*(0*0.25+'Vstupní hodnoty'!Q$4*0.2+'Vstupní hodnoty'!Q$5*0.25+'Vstupní hodnoty'!Q$6*0.15+'Vstupní hodnoty'!Q$7*0.1+'Vstupní hodnoty'!Q$8*0.05)</f>
        <v>3106.35</v>
      </c>
      <c r="G65">
        <f t="shared" si="5"/>
        <v>6000</v>
      </c>
      <c r="H65">
        <f>(IF(C65&lt;14,0,IF(C65&lt;21,'Vstupní hodnoty'!N$4,IF(C65&lt;28,'Vstupní hodnoty'!N$5,IF(C65&lt;35,'Vstupní hodnoty'!N$6,'Vstupní hodnoty'!N$6))))+IF(C65&lt;14,0,IF(AI$15&lt;2,'Vstupní hodnoty'!O$6,IF(Model!AI$3&lt;3,'Vstupní hodnoty'!O$5,IF(Model!AI$3&lt;4,'Vstupní hodnoty'!O$4,0))))+'Vstupní hodnoty'!P$5)*D65+IF(C65&lt;21, 0, (C65-20)*'Vstupní hodnoty'!$O$5*'Vstupní hodnoty'!$A$17)*Vícenáklady!D65</f>
        <v>11674.002500000001</v>
      </c>
      <c r="I65" s="5">
        <f>('Vstupní hodnoty'!P$5+'Roční bonus alt 2'!D51)*D65+IF(C65&lt;21, 0, (C65-20)*'Vstupní hodnoty'!$O$5*'Vstupní hodnoty'!$A$17)*Vícenáklady!D65</f>
        <v>19300.666666666668</v>
      </c>
      <c r="K65">
        <v>59</v>
      </c>
      <c r="L65">
        <v>0.5</v>
      </c>
      <c r="M65">
        <f>K65*(L65)*(0*0.25+ 'Vstupní hodnoty'!H$4*0.2+'Vstupní hodnoty'!H$5*0.25+'Vstupní hodnoty'!H$6*0.15+'Vstupní hodnoty'!H$7*0.1+'Vstupní hodnoty'!H$8*0.05)</f>
        <v>5115.3</v>
      </c>
      <c r="N65">
        <f>K65*(L65)*(0*L$3+'Vstupní hodnoty'!Q$4*L$4+'Vstupní hodnoty'!Q$5*$L$5+'Vstupní hodnoty'!Q$6*$L$6+'Vstupní hodnoty'!Q$7*$L$7+'Vstupní hodnoty'!Q$8*$L$8)</f>
        <v>6212.7</v>
      </c>
      <c r="O65">
        <f t="shared" si="6"/>
        <v>12000</v>
      </c>
      <c r="P65">
        <f>(IF(K65&lt;14,0,IF(K65&lt;21,'Vstupní hodnoty'!N$4,IF(K65&lt;28,'Vstupní hodnoty'!N$5,IF(K65&lt;35,'Vstupní hodnoty'!N$6,'Vstupní hodnoty'!N$6))))+IF(K65&lt;14,0,IF(AR$15&lt;2,'Vstupní hodnoty'!O$6,IF(Model!AR$3&lt;3,'Vstupní hodnoty'!O$5,IF(Model!AR$3&lt;4,'Vstupní hodnoty'!O$4,0))))+'Vstupní hodnoty'!P$5)*L65++IF(K65&lt;21, 0, (C65-20)*'Vstupní hodnoty'!$O$5*'Vstupní hodnoty'!$A$17)*Vícenáklady!L65</f>
        <v>23348.005000000001</v>
      </c>
      <c r="Q65">
        <f>('Vstupní hodnoty'!P$5+'Roční bonus alt 2'!D51)*L65+IF(K65&lt;21, 0, (C65-20)*'Vstupní hodnoty'!$O$5*'Vstupní hodnoty'!$A$17)*Vícenáklady!L65</f>
        <v>38601.333333333336</v>
      </c>
    </row>
    <row r="66" spans="3:17" x14ac:dyDescent="0.2">
      <c r="C66">
        <v>60</v>
      </c>
      <c r="D66">
        <v>0.25</v>
      </c>
      <c r="E66">
        <f>C66*(D66)*(0*$L$3+ 'Vstupní hodnoty'!H$4*$L$4+'Vstupní hodnoty'!H$5*$L$5+'Vstupní hodnoty'!H$6*$L$6+'Vstupní hodnoty'!H$7*$L$7+'Vstupní hodnoty'!H$8*$L$8)</f>
        <v>2601</v>
      </c>
      <c r="F66">
        <f>C66*(D66)*(0*0.25+'Vstupní hodnoty'!Q$4*0.2+'Vstupní hodnoty'!Q$5*0.25+'Vstupní hodnoty'!Q$6*0.15+'Vstupní hodnoty'!Q$7*0.1+'Vstupní hodnoty'!Q$8*0.05)</f>
        <v>3159</v>
      </c>
      <c r="G66">
        <f t="shared" si="5"/>
        <v>6000</v>
      </c>
      <c r="H66">
        <f>(IF(C66&lt;14,0,IF(C66&lt;21,'Vstupní hodnoty'!N$4,IF(C66&lt;28,'Vstupní hodnoty'!N$5,IF(C66&lt;35,'Vstupní hodnoty'!N$6,'Vstupní hodnoty'!N$6))))+IF(C66&lt;14,0,IF(AI$15&lt;2,'Vstupní hodnoty'!O$6,IF(Model!AI$3&lt;3,'Vstupní hodnoty'!O$5,IF(Model!AI$3&lt;4,'Vstupní hodnoty'!O$4,0))))+'Vstupní hodnoty'!P$5)*D66+IF(C66&lt;21, 0, (C66-20)*'Vstupní hodnoty'!$O$5*'Vstupní hodnoty'!$A$17)*Vícenáklady!D66</f>
        <v>11700.002500000001</v>
      </c>
      <c r="I66" s="5">
        <f>('Vstupní hodnoty'!P$5+'Roční bonus alt 2'!D52)*D66+IF(C66&lt;21, 0, (C66-20)*'Vstupní hodnoty'!$O$5*'Vstupní hodnoty'!$A$17)*Vícenáklady!D66</f>
        <v>19673.333333333336</v>
      </c>
      <c r="K66">
        <v>60</v>
      </c>
      <c r="L66">
        <v>0.5</v>
      </c>
      <c r="M66">
        <f>K66*(L66)*(0*0.25+ 'Vstupní hodnoty'!H$4*0.2+'Vstupní hodnoty'!H$5*0.25+'Vstupní hodnoty'!H$6*0.15+'Vstupní hodnoty'!H$7*0.1+'Vstupní hodnoty'!H$8*0.05)</f>
        <v>5202</v>
      </c>
      <c r="N66">
        <f>K66*(L66)*(0*L$3+'Vstupní hodnoty'!Q$4*L$4+'Vstupní hodnoty'!Q$5*$L$5+'Vstupní hodnoty'!Q$6*$L$6+'Vstupní hodnoty'!Q$7*$L$7+'Vstupní hodnoty'!Q$8*$L$8)</f>
        <v>6318</v>
      </c>
      <c r="O66">
        <f t="shared" si="6"/>
        <v>12000</v>
      </c>
      <c r="P66">
        <f>(IF(K66&lt;14,0,IF(K66&lt;21,'Vstupní hodnoty'!N$4,IF(K66&lt;28,'Vstupní hodnoty'!N$5,IF(K66&lt;35,'Vstupní hodnoty'!N$6,'Vstupní hodnoty'!N$6))))+IF(K66&lt;14,0,IF(AR$15&lt;2,'Vstupní hodnoty'!O$6,IF(Model!AR$3&lt;3,'Vstupní hodnoty'!O$5,IF(Model!AR$3&lt;4,'Vstupní hodnoty'!O$4,0))))+'Vstupní hodnoty'!P$5)*L66++IF(K66&lt;21, 0, (C66-20)*'Vstupní hodnoty'!$O$5*'Vstupní hodnoty'!$A$17)*Vícenáklady!L66</f>
        <v>23400.005000000001</v>
      </c>
      <c r="Q66">
        <f>('Vstupní hodnoty'!P$5+'Roční bonus alt 2'!D52)*L66+IF(K66&lt;21, 0, (C66-20)*'Vstupní hodnoty'!$O$5*'Vstupní hodnoty'!$A$17)*Vícenáklady!L66</f>
        <v>39346.666666666672</v>
      </c>
    </row>
    <row r="67" spans="3:17" x14ac:dyDescent="0.2">
      <c r="C67">
        <v>61</v>
      </c>
      <c r="D67">
        <v>0.25</v>
      </c>
      <c r="E67">
        <f>C67*(D67)*(0*$L$3+ 'Vstupní hodnoty'!H$4*$L$4+'Vstupní hodnoty'!H$5*$L$5+'Vstupní hodnoty'!H$6*$L$6+'Vstupní hodnoty'!H$7*$L$7+'Vstupní hodnoty'!H$8*$L$8)</f>
        <v>2644.35</v>
      </c>
      <c r="F67">
        <f>C67*(D67)*(0*0.25+'Vstupní hodnoty'!Q$4*0.2+'Vstupní hodnoty'!Q$5*0.25+'Vstupní hodnoty'!Q$6*0.15+'Vstupní hodnoty'!Q$7*0.1+'Vstupní hodnoty'!Q$8*0.05)</f>
        <v>3211.65</v>
      </c>
      <c r="G67">
        <f t="shared" si="5"/>
        <v>6000</v>
      </c>
      <c r="H67">
        <f>(IF(C67&lt;14,0,IF(C67&lt;21,'Vstupní hodnoty'!N$4,IF(C67&lt;28,'Vstupní hodnoty'!N$5,IF(C67&lt;35,'Vstupní hodnoty'!N$6,'Vstupní hodnoty'!N$6))))+IF(C67&lt;14,0,IF(AI$15&lt;2,'Vstupní hodnoty'!O$6,IF(Model!AI$3&lt;3,'Vstupní hodnoty'!O$5,IF(Model!AI$3&lt;4,'Vstupní hodnoty'!O$4,0))))+'Vstupní hodnoty'!P$5)*D67+IF(C67&lt;21, 0, (C67-20)*'Vstupní hodnoty'!$O$5*'Vstupní hodnoty'!$A$17)*Vícenáklady!D67</f>
        <v>11726.002500000001</v>
      </c>
      <c r="I67" s="5">
        <f>('Vstupní hodnoty'!P$5+'Roční bonus alt 2'!D53)*D67+IF(C67&lt;21, 0, (C67-20)*'Vstupní hodnoty'!$O$5*'Vstupní hodnoty'!$A$17)*Vícenáklady!D67</f>
        <v>20046</v>
      </c>
      <c r="K67">
        <v>61</v>
      </c>
      <c r="L67">
        <v>0.5</v>
      </c>
      <c r="M67">
        <f>K67*(L67)*(0*0.25+ 'Vstupní hodnoty'!H$4*0.2+'Vstupní hodnoty'!H$5*0.25+'Vstupní hodnoty'!H$6*0.15+'Vstupní hodnoty'!H$7*0.1+'Vstupní hodnoty'!H$8*0.05)</f>
        <v>5288.7</v>
      </c>
      <c r="N67">
        <f>K67*(L67)*(0*L$3+'Vstupní hodnoty'!Q$4*L$4+'Vstupní hodnoty'!Q$5*$L$5+'Vstupní hodnoty'!Q$6*$L$6+'Vstupní hodnoty'!Q$7*$L$7+'Vstupní hodnoty'!Q$8*$L$8)</f>
        <v>6423.3</v>
      </c>
      <c r="O67">
        <f t="shared" si="6"/>
        <v>12000</v>
      </c>
      <c r="P67">
        <f>(IF(K67&lt;14,0,IF(K67&lt;21,'Vstupní hodnoty'!N$4,IF(K67&lt;28,'Vstupní hodnoty'!N$5,IF(K67&lt;35,'Vstupní hodnoty'!N$6,'Vstupní hodnoty'!N$6))))+IF(K67&lt;14,0,IF(AR$15&lt;2,'Vstupní hodnoty'!O$6,IF(Model!AR$3&lt;3,'Vstupní hodnoty'!O$5,IF(Model!AR$3&lt;4,'Vstupní hodnoty'!O$4,0))))+'Vstupní hodnoty'!P$5)*L67++IF(K67&lt;21, 0, (C67-20)*'Vstupní hodnoty'!$O$5*'Vstupní hodnoty'!$A$17)*Vícenáklady!L67</f>
        <v>23452.005000000001</v>
      </c>
      <c r="Q67">
        <f>('Vstupní hodnoty'!P$5+'Roční bonus alt 2'!D53)*L67+IF(K67&lt;21, 0, (C67-20)*'Vstupní hodnoty'!$O$5*'Vstupní hodnoty'!$A$17)*Vícenáklady!L67</f>
        <v>40092</v>
      </c>
    </row>
    <row r="68" spans="3:17" x14ac:dyDescent="0.2">
      <c r="C68">
        <v>62</v>
      </c>
      <c r="D68">
        <v>0.25</v>
      </c>
      <c r="E68">
        <f>C68*(D68)*(0*$L$3+ 'Vstupní hodnoty'!H$4*$L$4+'Vstupní hodnoty'!H$5*$L$5+'Vstupní hodnoty'!H$6*$L$6+'Vstupní hodnoty'!H$7*$L$7+'Vstupní hodnoty'!H$8*$L$8)</f>
        <v>2687.7000000000003</v>
      </c>
      <c r="F68">
        <f>C68*(D68)*(0*0.25+'Vstupní hodnoty'!Q$4*0.2+'Vstupní hodnoty'!Q$5*0.25+'Vstupní hodnoty'!Q$6*0.15+'Vstupní hodnoty'!Q$7*0.1+'Vstupní hodnoty'!Q$8*0.05)</f>
        <v>3264.2999999999997</v>
      </c>
      <c r="G68">
        <f t="shared" si="5"/>
        <v>6000</v>
      </c>
      <c r="H68">
        <f>(IF(C68&lt;14,0,IF(C68&lt;21,'Vstupní hodnoty'!N$4,IF(C68&lt;28,'Vstupní hodnoty'!N$5,IF(C68&lt;35,'Vstupní hodnoty'!N$6,'Vstupní hodnoty'!N$6))))+IF(C68&lt;14,0,IF(AI$15&lt;2,'Vstupní hodnoty'!O$6,IF(Model!AI$3&lt;3,'Vstupní hodnoty'!O$5,IF(Model!AI$3&lt;4,'Vstupní hodnoty'!O$4,0))))+'Vstupní hodnoty'!P$5)*D68+IF(C68&lt;21, 0, (C68-20)*'Vstupní hodnoty'!$O$5*'Vstupní hodnoty'!$A$17)*Vícenáklady!D68</f>
        <v>11752.002500000001</v>
      </c>
      <c r="I68" s="5">
        <f>('Vstupní hodnoty'!P$5+'Roční bonus alt 2'!D54)*D68+IF(C68&lt;21, 0, (C68-20)*'Vstupní hodnoty'!$O$5*'Vstupní hodnoty'!$A$17)*Vícenáklady!D68</f>
        <v>20418.666666666664</v>
      </c>
      <c r="K68">
        <v>62</v>
      </c>
      <c r="L68">
        <v>0.5</v>
      </c>
      <c r="M68">
        <f>K68*(L68)*(0*0.25+ 'Vstupní hodnoty'!H$4*0.2+'Vstupní hodnoty'!H$5*0.25+'Vstupní hodnoty'!H$6*0.15+'Vstupní hodnoty'!H$7*0.1+'Vstupní hodnoty'!H$8*0.05)</f>
        <v>5375.4000000000005</v>
      </c>
      <c r="N68">
        <f>K68*(L68)*(0*L$3+'Vstupní hodnoty'!Q$4*L$4+'Vstupní hodnoty'!Q$5*$L$5+'Vstupní hodnoty'!Q$6*$L$6+'Vstupní hodnoty'!Q$7*$L$7+'Vstupní hodnoty'!Q$8*$L$8)</f>
        <v>6528.5999999999995</v>
      </c>
      <c r="O68">
        <f t="shared" si="6"/>
        <v>12000</v>
      </c>
      <c r="P68">
        <f>(IF(K68&lt;14,0,IF(K68&lt;21,'Vstupní hodnoty'!N$4,IF(K68&lt;28,'Vstupní hodnoty'!N$5,IF(K68&lt;35,'Vstupní hodnoty'!N$6,'Vstupní hodnoty'!N$6))))+IF(K68&lt;14,0,IF(AR$15&lt;2,'Vstupní hodnoty'!O$6,IF(Model!AR$3&lt;3,'Vstupní hodnoty'!O$5,IF(Model!AR$3&lt;4,'Vstupní hodnoty'!O$4,0))))+'Vstupní hodnoty'!P$5)*L68++IF(K68&lt;21, 0, (C68-20)*'Vstupní hodnoty'!$O$5*'Vstupní hodnoty'!$A$17)*Vícenáklady!L68</f>
        <v>23504.005000000001</v>
      </c>
      <c r="Q68">
        <f>('Vstupní hodnoty'!P$5+'Roční bonus alt 2'!D54)*L68+IF(K68&lt;21, 0, (C68-20)*'Vstupní hodnoty'!$O$5*'Vstupní hodnoty'!$A$17)*Vícenáklady!L68</f>
        <v>40837.333333333328</v>
      </c>
    </row>
    <row r="69" spans="3:17" x14ac:dyDescent="0.2">
      <c r="C69">
        <v>63</v>
      </c>
      <c r="D69">
        <v>0.25</v>
      </c>
      <c r="E69">
        <f>C69*(D69)*(0*$L$3+ 'Vstupní hodnoty'!H$4*$L$4+'Vstupní hodnoty'!H$5*$L$5+'Vstupní hodnoty'!H$6*$L$6+'Vstupní hodnoty'!H$7*$L$7+'Vstupní hodnoty'!H$8*$L$8)</f>
        <v>2731.05</v>
      </c>
      <c r="F69">
        <f>C69*(D69)*(0*0.25+'Vstupní hodnoty'!Q$4*0.2+'Vstupní hodnoty'!Q$5*0.25+'Vstupní hodnoty'!Q$6*0.15+'Vstupní hodnoty'!Q$7*0.1+'Vstupní hodnoty'!Q$8*0.05)</f>
        <v>3316.95</v>
      </c>
      <c r="G69">
        <f t="shared" si="5"/>
        <v>6000</v>
      </c>
      <c r="H69">
        <f>(IF(C69&lt;14,0,IF(C69&lt;21,'Vstupní hodnoty'!N$4,IF(C69&lt;28,'Vstupní hodnoty'!N$5,IF(C69&lt;35,'Vstupní hodnoty'!N$6,'Vstupní hodnoty'!N$6))))+IF(C69&lt;14,0,IF(AI$15&lt;2,'Vstupní hodnoty'!O$6,IF(Model!AI$3&lt;3,'Vstupní hodnoty'!O$5,IF(Model!AI$3&lt;4,'Vstupní hodnoty'!O$4,0))))+'Vstupní hodnoty'!P$5)*D69+IF(C69&lt;21, 0, (C69-20)*'Vstupní hodnoty'!$O$5*'Vstupní hodnoty'!$A$17)*Vícenáklady!D69</f>
        <v>11778.002500000001</v>
      </c>
      <c r="I69" s="5">
        <f>('Vstupní hodnoty'!P$5+'Roční bonus alt 2'!D55)*D69+IF(C69&lt;21, 0, (C69-20)*'Vstupní hodnoty'!$O$5*'Vstupní hodnoty'!$A$17)*Vícenáklady!D69</f>
        <v>20791.333333333336</v>
      </c>
      <c r="K69">
        <v>63</v>
      </c>
      <c r="L69">
        <v>0.5</v>
      </c>
      <c r="M69">
        <f>K69*(L69)*(0*0.25+ 'Vstupní hodnoty'!H$4*0.2+'Vstupní hodnoty'!H$5*0.25+'Vstupní hodnoty'!H$6*0.15+'Vstupní hodnoty'!H$7*0.1+'Vstupní hodnoty'!H$8*0.05)</f>
        <v>5462.1</v>
      </c>
      <c r="N69">
        <f>K69*(L69)*(0*L$3+'Vstupní hodnoty'!Q$4*L$4+'Vstupní hodnoty'!Q$5*$L$5+'Vstupní hodnoty'!Q$6*$L$6+'Vstupní hodnoty'!Q$7*$L$7+'Vstupní hodnoty'!Q$8*$L$8)</f>
        <v>6633.9</v>
      </c>
      <c r="O69">
        <f t="shared" si="6"/>
        <v>12000</v>
      </c>
      <c r="P69">
        <f>(IF(K69&lt;14,0,IF(K69&lt;21,'Vstupní hodnoty'!N$4,IF(K69&lt;28,'Vstupní hodnoty'!N$5,IF(K69&lt;35,'Vstupní hodnoty'!N$6,'Vstupní hodnoty'!N$6))))+IF(K69&lt;14,0,IF(AR$15&lt;2,'Vstupní hodnoty'!O$6,IF(Model!AR$3&lt;3,'Vstupní hodnoty'!O$5,IF(Model!AR$3&lt;4,'Vstupní hodnoty'!O$4,0))))+'Vstupní hodnoty'!P$5)*L69++IF(K69&lt;21, 0, (C69-20)*'Vstupní hodnoty'!$O$5*'Vstupní hodnoty'!$A$17)*Vícenáklady!L69</f>
        <v>23556.005000000001</v>
      </c>
      <c r="Q69">
        <f>('Vstupní hodnoty'!P$5+'Roční bonus alt 2'!D55)*L69+IF(K69&lt;21, 0, (C69-20)*'Vstupní hodnoty'!$O$5*'Vstupní hodnoty'!$A$17)*Vícenáklady!L69</f>
        <v>41582.666666666672</v>
      </c>
    </row>
    <row r="70" spans="3:17" x14ac:dyDescent="0.2">
      <c r="C70">
        <v>64</v>
      </c>
      <c r="D70">
        <v>0.25</v>
      </c>
      <c r="E70">
        <f>C70*(D70)*(0*$L$3+ 'Vstupní hodnoty'!H$4*$L$4+'Vstupní hodnoty'!H$5*$L$5+'Vstupní hodnoty'!H$6*$L$6+'Vstupní hodnoty'!H$7*$L$7+'Vstupní hodnoty'!H$8*$L$8)</f>
        <v>2774.4</v>
      </c>
      <c r="F70">
        <f>C70*(D70)*(0*0.25+'Vstupní hodnoty'!Q$4*0.2+'Vstupní hodnoty'!Q$5*0.25+'Vstupní hodnoty'!Q$6*0.15+'Vstupní hodnoty'!Q$7*0.1+'Vstupní hodnoty'!Q$8*0.05)</f>
        <v>3369.6</v>
      </c>
      <c r="G70">
        <f t="shared" si="5"/>
        <v>6000</v>
      </c>
      <c r="H70">
        <f>(IF(C70&lt;14,0,IF(C70&lt;21,'Vstupní hodnoty'!N$4,IF(C70&lt;28,'Vstupní hodnoty'!N$5,IF(C70&lt;35,'Vstupní hodnoty'!N$6,'Vstupní hodnoty'!N$6))))+IF(C70&lt;14,0,IF(AI$15&lt;2,'Vstupní hodnoty'!O$6,IF(Model!AI$3&lt;3,'Vstupní hodnoty'!O$5,IF(Model!AI$3&lt;4,'Vstupní hodnoty'!O$4,0))))+'Vstupní hodnoty'!P$5)*D70+IF(C70&lt;21, 0, (C70-20)*'Vstupní hodnoty'!$O$5*'Vstupní hodnoty'!$A$17)*Vícenáklady!D70</f>
        <v>11804.002500000001</v>
      </c>
      <c r="I70" s="5">
        <f>('Vstupní hodnoty'!P$5+'Roční bonus alt 2'!D56)*D70+IF(C70&lt;21, 0, (C70-20)*'Vstupní hodnoty'!$O$5*'Vstupní hodnoty'!$A$17)*Vícenáklady!D70</f>
        <v>21164</v>
      </c>
      <c r="K70">
        <v>64</v>
      </c>
      <c r="L70">
        <v>0.5</v>
      </c>
      <c r="M70">
        <f>K70*(L70)*(0*0.25+ 'Vstupní hodnoty'!H$4*0.2+'Vstupní hodnoty'!H$5*0.25+'Vstupní hodnoty'!H$6*0.15+'Vstupní hodnoty'!H$7*0.1+'Vstupní hodnoty'!H$8*0.05)</f>
        <v>5548.8</v>
      </c>
      <c r="N70">
        <f>K70*(L70)*(0*L$3+'Vstupní hodnoty'!Q$4*L$4+'Vstupní hodnoty'!Q$5*$L$5+'Vstupní hodnoty'!Q$6*$L$6+'Vstupní hodnoty'!Q$7*$L$7+'Vstupní hodnoty'!Q$8*$L$8)</f>
        <v>6739.2</v>
      </c>
      <c r="O70">
        <f t="shared" si="6"/>
        <v>12000</v>
      </c>
      <c r="P70">
        <f>(IF(K70&lt;14,0,IF(K70&lt;21,'Vstupní hodnoty'!N$4,IF(K70&lt;28,'Vstupní hodnoty'!N$5,IF(K70&lt;35,'Vstupní hodnoty'!N$6,'Vstupní hodnoty'!N$6))))+IF(K70&lt;14,0,IF(AR$15&lt;2,'Vstupní hodnoty'!O$6,IF(Model!AR$3&lt;3,'Vstupní hodnoty'!O$5,IF(Model!AR$3&lt;4,'Vstupní hodnoty'!O$4,0))))+'Vstupní hodnoty'!P$5)*L70++IF(K70&lt;21, 0, (C70-20)*'Vstupní hodnoty'!$O$5*'Vstupní hodnoty'!$A$17)*Vícenáklady!L70</f>
        <v>23608.005000000001</v>
      </c>
      <c r="Q70">
        <f>('Vstupní hodnoty'!P$5+'Roční bonus alt 2'!D56)*L70+IF(K70&lt;21, 0, (C70-20)*'Vstupní hodnoty'!$O$5*'Vstupní hodnoty'!$A$17)*Vícenáklady!L70</f>
        <v>42328</v>
      </c>
    </row>
    <row r="71" spans="3:17" x14ac:dyDescent="0.2">
      <c r="C71">
        <v>65</v>
      </c>
      <c r="D71">
        <v>0.25</v>
      </c>
      <c r="E71">
        <f>C71*(D71)*(0*$L$3+ 'Vstupní hodnoty'!H$4*$L$4+'Vstupní hodnoty'!H$5*$L$5+'Vstupní hodnoty'!H$6*$L$6+'Vstupní hodnoty'!H$7*$L$7+'Vstupní hodnoty'!H$8*$L$8)</f>
        <v>2817.75</v>
      </c>
      <c r="F71">
        <f>C71*(D71)*(0*0.25+'Vstupní hodnoty'!Q$4*0.2+'Vstupní hodnoty'!Q$5*0.25+'Vstupní hodnoty'!Q$6*0.15+'Vstupní hodnoty'!Q$7*0.1+'Vstupní hodnoty'!Q$8*0.05)</f>
        <v>3422.25</v>
      </c>
      <c r="G71">
        <f t="shared" si="5"/>
        <v>6000</v>
      </c>
      <c r="H71">
        <f>(IF(C71&lt;14,0,IF(C71&lt;21,'Vstupní hodnoty'!N$4,IF(C71&lt;28,'Vstupní hodnoty'!N$5,IF(C71&lt;35,'Vstupní hodnoty'!N$6,'Vstupní hodnoty'!N$6))))+IF(C71&lt;14,0,IF(AI$15&lt;2,'Vstupní hodnoty'!O$6,IF(Model!AI$3&lt;3,'Vstupní hodnoty'!O$5,IF(Model!AI$3&lt;4,'Vstupní hodnoty'!O$4,0))))+'Vstupní hodnoty'!P$5)*D71+IF(C71&lt;21, 0, (C71-20)*'Vstupní hodnoty'!$O$5*'Vstupní hodnoty'!$A$17)*Vícenáklady!D71</f>
        <v>11830.002500000001</v>
      </c>
      <c r="I71" s="5">
        <f>('Vstupní hodnoty'!P$5+'Roční bonus alt 2'!D57)*D71+IF(C71&lt;21, 0, (C71-20)*'Vstupní hodnoty'!$O$5*'Vstupní hodnoty'!$A$17)*Vícenáklady!D71</f>
        <v>21536.666666666664</v>
      </c>
      <c r="K71">
        <v>65</v>
      </c>
      <c r="L71">
        <v>0.5</v>
      </c>
      <c r="M71">
        <f>K71*(L71)*(0*0.25+ 'Vstupní hodnoty'!H$4*0.2+'Vstupní hodnoty'!H$5*0.25+'Vstupní hodnoty'!H$6*0.15+'Vstupní hodnoty'!H$7*0.1+'Vstupní hodnoty'!H$8*0.05)</f>
        <v>5635.5</v>
      </c>
      <c r="N71">
        <f>K71*(L71)*(0*L$3+'Vstupní hodnoty'!Q$4*L$4+'Vstupní hodnoty'!Q$5*$L$5+'Vstupní hodnoty'!Q$6*$L$6+'Vstupní hodnoty'!Q$7*$L$7+'Vstupní hodnoty'!Q$8*$L$8)</f>
        <v>6844.5</v>
      </c>
      <c r="O71">
        <f t="shared" si="6"/>
        <v>12000</v>
      </c>
      <c r="P71">
        <f>(IF(K71&lt;14,0,IF(K71&lt;21,'Vstupní hodnoty'!N$4,IF(K71&lt;28,'Vstupní hodnoty'!N$5,IF(K71&lt;35,'Vstupní hodnoty'!N$6,'Vstupní hodnoty'!N$6))))+IF(K71&lt;14,0,IF(AR$15&lt;2,'Vstupní hodnoty'!O$6,IF(Model!AR$3&lt;3,'Vstupní hodnoty'!O$5,IF(Model!AR$3&lt;4,'Vstupní hodnoty'!O$4,0))))+'Vstupní hodnoty'!P$5)*L71++IF(K71&lt;21, 0, (C71-20)*'Vstupní hodnoty'!$O$5*'Vstupní hodnoty'!$A$17)*Vícenáklady!L71</f>
        <v>23660.005000000001</v>
      </c>
      <c r="Q71">
        <f>('Vstupní hodnoty'!P$5+'Roční bonus alt 2'!D57)*L71+IF(K71&lt;21, 0, (C71-20)*'Vstupní hodnoty'!$O$5*'Vstupní hodnoty'!$A$17)*Vícenáklady!L71</f>
        <v>43073.333333333328</v>
      </c>
    </row>
    <row r="72" spans="3:17" x14ac:dyDescent="0.2">
      <c r="C72">
        <v>66</v>
      </c>
      <c r="D72">
        <v>0.25</v>
      </c>
      <c r="E72">
        <f>C72*(D72)*(0*$L$3+ 'Vstupní hodnoty'!H$4*$L$4+'Vstupní hodnoty'!H$5*$L$5+'Vstupní hodnoty'!H$6*$L$6+'Vstupní hodnoty'!H$7*$L$7+'Vstupní hodnoty'!H$8*$L$8)</f>
        <v>2861.1</v>
      </c>
      <c r="F72">
        <f>C72*(D72)*(0*0.25+'Vstupní hodnoty'!Q$4*0.2+'Vstupní hodnoty'!Q$5*0.25+'Vstupní hodnoty'!Q$6*0.15+'Vstupní hodnoty'!Q$7*0.1+'Vstupní hodnoty'!Q$8*0.05)</f>
        <v>3474.9</v>
      </c>
      <c r="G72">
        <f t="shared" si="5"/>
        <v>6000</v>
      </c>
      <c r="H72">
        <f>(IF(C72&lt;14,0,IF(C72&lt;21,'Vstupní hodnoty'!N$4,IF(C72&lt;28,'Vstupní hodnoty'!N$5,IF(C72&lt;35,'Vstupní hodnoty'!N$6,'Vstupní hodnoty'!N$6))))+IF(C72&lt;14,0,IF(AI$15&lt;2,'Vstupní hodnoty'!O$6,IF(Model!AI$3&lt;3,'Vstupní hodnoty'!O$5,IF(Model!AI$3&lt;4,'Vstupní hodnoty'!O$4,0))))+'Vstupní hodnoty'!P$5)*D72+IF(C72&lt;21, 0, (C72-20)*'Vstupní hodnoty'!$O$5*'Vstupní hodnoty'!$A$17)*Vícenáklady!D72</f>
        <v>11856.002500000001</v>
      </c>
      <c r="I72" s="5">
        <f>('Vstupní hodnoty'!P$5+'Roční bonus alt 2'!D58)*D72+IF(C72&lt;21, 0, (C72-20)*'Vstupní hodnoty'!$O$5*'Vstupní hodnoty'!$A$17)*Vícenáklady!D72</f>
        <v>21909.333333333336</v>
      </c>
      <c r="K72">
        <v>66</v>
      </c>
      <c r="L72">
        <v>0.5</v>
      </c>
      <c r="M72">
        <f>K72*(L72)*(0*0.25+ 'Vstupní hodnoty'!H$4*0.2+'Vstupní hodnoty'!H$5*0.25+'Vstupní hodnoty'!H$6*0.15+'Vstupní hodnoty'!H$7*0.1+'Vstupní hodnoty'!H$8*0.05)</f>
        <v>5722.2</v>
      </c>
      <c r="N72">
        <f>K72*(L72)*(0*L$3+'Vstupní hodnoty'!Q$4*L$4+'Vstupní hodnoty'!Q$5*$L$5+'Vstupní hodnoty'!Q$6*$L$6+'Vstupní hodnoty'!Q$7*$L$7+'Vstupní hodnoty'!Q$8*$L$8)</f>
        <v>6949.8</v>
      </c>
      <c r="O72">
        <f t="shared" si="6"/>
        <v>12000</v>
      </c>
      <c r="P72">
        <f>(IF(K72&lt;14,0,IF(K72&lt;21,'Vstupní hodnoty'!N$4,IF(K72&lt;28,'Vstupní hodnoty'!N$5,IF(K72&lt;35,'Vstupní hodnoty'!N$6,'Vstupní hodnoty'!N$6))))+IF(K72&lt;14,0,IF(AR$15&lt;2,'Vstupní hodnoty'!O$6,IF(Model!AR$3&lt;3,'Vstupní hodnoty'!O$5,IF(Model!AR$3&lt;4,'Vstupní hodnoty'!O$4,0))))+'Vstupní hodnoty'!P$5)*L72++IF(K72&lt;21, 0, (C72-20)*'Vstupní hodnoty'!$O$5*'Vstupní hodnoty'!$A$17)*Vícenáklady!L72</f>
        <v>23712.005000000001</v>
      </c>
      <c r="Q72">
        <f>('Vstupní hodnoty'!P$5+'Roční bonus alt 2'!D58)*L72+IF(K72&lt;21, 0, (C72-20)*'Vstupní hodnoty'!$O$5*'Vstupní hodnoty'!$A$17)*Vícenáklady!L72</f>
        <v>43818.666666666672</v>
      </c>
    </row>
    <row r="73" spans="3:17" x14ac:dyDescent="0.2">
      <c r="C73">
        <v>67</v>
      </c>
      <c r="D73">
        <v>0.25</v>
      </c>
      <c r="E73">
        <f>C73*(D73)*(0*$L$3+ 'Vstupní hodnoty'!H$4*$L$4+'Vstupní hodnoty'!H$5*$L$5+'Vstupní hodnoty'!H$6*$L$6+'Vstupní hodnoty'!H$7*$L$7+'Vstupní hodnoty'!H$8*$L$8)</f>
        <v>2904.4500000000003</v>
      </c>
      <c r="F73">
        <f>C73*(D73)*(0*0.25+'Vstupní hodnoty'!Q$4*0.2+'Vstupní hodnoty'!Q$5*0.25+'Vstupní hodnoty'!Q$6*0.15+'Vstupní hodnoty'!Q$7*0.1+'Vstupní hodnoty'!Q$8*0.05)</f>
        <v>3527.5499999999997</v>
      </c>
      <c r="G73">
        <f t="shared" si="5"/>
        <v>6000</v>
      </c>
      <c r="H73">
        <f>(IF(C73&lt;14,0,IF(C73&lt;21,'Vstupní hodnoty'!N$4,IF(C73&lt;28,'Vstupní hodnoty'!N$5,IF(C73&lt;35,'Vstupní hodnoty'!N$6,'Vstupní hodnoty'!N$6))))+IF(C73&lt;14,0,IF(AI$15&lt;2,'Vstupní hodnoty'!O$6,IF(Model!AI$3&lt;3,'Vstupní hodnoty'!O$5,IF(Model!AI$3&lt;4,'Vstupní hodnoty'!O$4,0))))+'Vstupní hodnoty'!P$5)*D73+IF(C73&lt;21, 0, (C73-20)*'Vstupní hodnoty'!$O$5*'Vstupní hodnoty'!$A$17)*Vícenáklady!D73</f>
        <v>11882.002500000001</v>
      </c>
      <c r="I73" s="5">
        <f>('Vstupní hodnoty'!P$5+'Roční bonus alt 2'!D59)*D73+IF(C73&lt;21, 0, (C73-20)*'Vstupní hodnoty'!$O$5*'Vstupní hodnoty'!$A$17)*Vícenáklady!D73</f>
        <v>22282</v>
      </c>
      <c r="K73">
        <v>67</v>
      </c>
      <c r="L73">
        <v>0.5</v>
      </c>
      <c r="M73">
        <f>K73*(L73)*(0*0.25+ 'Vstupní hodnoty'!H$4*0.2+'Vstupní hodnoty'!H$5*0.25+'Vstupní hodnoty'!H$6*0.15+'Vstupní hodnoty'!H$7*0.1+'Vstupní hodnoty'!H$8*0.05)</f>
        <v>5808.9000000000005</v>
      </c>
      <c r="N73">
        <f>K73*(L73)*(0*L$3+'Vstupní hodnoty'!Q$4*L$4+'Vstupní hodnoty'!Q$5*$L$5+'Vstupní hodnoty'!Q$6*$L$6+'Vstupní hodnoty'!Q$7*$L$7+'Vstupní hodnoty'!Q$8*$L$8)</f>
        <v>7055.0999999999995</v>
      </c>
      <c r="O73">
        <f t="shared" si="6"/>
        <v>12000</v>
      </c>
      <c r="P73">
        <f>(IF(K73&lt;14,0,IF(K73&lt;21,'Vstupní hodnoty'!N$4,IF(K73&lt;28,'Vstupní hodnoty'!N$5,IF(K73&lt;35,'Vstupní hodnoty'!N$6,'Vstupní hodnoty'!N$6))))+IF(K73&lt;14,0,IF(AR$15&lt;2,'Vstupní hodnoty'!O$6,IF(Model!AR$3&lt;3,'Vstupní hodnoty'!O$5,IF(Model!AR$3&lt;4,'Vstupní hodnoty'!O$4,0))))+'Vstupní hodnoty'!P$5)*L73++IF(K73&lt;21, 0, (C73-20)*'Vstupní hodnoty'!$O$5*'Vstupní hodnoty'!$A$17)*Vícenáklady!L73</f>
        <v>23764.005000000001</v>
      </c>
      <c r="Q73">
        <f>('Vstupní hodnoty'!P$5+'Roční bonus alt 2'!D59)*L73+IF(K73&lt;21, 0, (C73-20)*'Vstupní hodnoty'!$O$5*'Vstupní hodnoty'!$A$17)*Vícenáklady!L73</f>
        <v>44564</v>
      </c>
    </row>
    <row r="74" spans="3:17" x14ac:dyDescent="0.2">
      <c r="C74">
        <v>68</v>
      </c>
      <c r="D74">
        <v>0.25</v>
      </c>
      <c r="E74">
        <f>C74*(D74)*(0*$L$3+ 'Vstupní hodnoty'!H$4*$L$4+'Vstupní hodnoty'!H$5*$L$5+'Vstupní hodnoty'!H$6*$L$6+'Vstupní hodnoty'!H$7*$L$7+'Vstupní hodnoty'!H$8*$L$8)</f>
        <v>2947.8</v>
      </c>
      <c r="F74">
        <f>C74*(D74)*(0*0.25+'Vstupní hodnoty'!Q$4*0.2+'Vstupní hodnoty'!Q$5*0.25+'Vstupní hodnoty'!Q$6*0.15+'Vstupní hodnoty'!Q$7*0.1+'Vstupní hodnoty'!Q$8*0.05)</f>
        <v>3580.2</v>
      </c>
      <c r="G74">
        <f t="shared" si="5"/>
        <v>6000</v>
      </c>
      <c r="H74">
        <f>(IF(C74&lt;14,0,IF(C74&lt;21,'Vstupní hodnoty'!N$4,IF(C74&lt;28,'Vstupní hodnoty'!N$5,IF(C74&lt;35,'Vstupní hodnoty'!N$6,'Vstupní hodnoty'!N$6))))+IF(C74&lt;14,0,IF(AI$15&lt;2,'Vstupní hodnoty'!O$6,IF(Model!AI$3&lt;3,'Vstupní hodnoty'!O$5,IF(Model!AI$3&lt;4,'Vstupní hodnoty'!O$4,0))))+'Vstupní hodnoty'!P$5)*D74+IF(C74&lt;21, 0, (C74-20)*'Vstupní hodnoty'!$O$5*'Vstupní hodnoty'!$A$17)*Vícenáklady!D74</f>
        <v>11908.002500000001</v>
      </c>
      <c r="I74" s="5">
        <f>('Vstupní hodnoty'!P$5+'Roční bonus alt 2'!D60)*D74+IF(C74&lt;21, 0, (C74-20)*'Vstupní hodnoty'!$O$5*'Vstupní hodnoty'!$A$17)*Vícenáklady!D74</f>
        <v>22654.666666666668</v>
      </c>
      <c r="K74">
        <v>68</v>
      </c>
      <c r="L74">
        <v>0.5</v>
      </c>
      <c r="M74">
        <f>K74*(L74)*(0*0.25+ 'Vstupní hodnoty'!H$4*0.2+'Vstupní hodnoty'!H$5*0.25+'Vstupní hodnoty'!H$6*0.15+'Vstupní hodnoty'!H$7*0.1+'Vstupní hodnoty'!H$8*0.05)</f>
        <v>5895.6</v>
      </c>
      <c r="N74">
        <f>K74*(L74)*(0*L$3+'Vstupní hodnoty'!Q$4*L$4+'Vstupní hodnoty'!Q$5*$L$5+'Vstupní hodnoty'!Q$6*$L$6+'Vstupní hodnoty'!Q$7*$L$7+'Vstupní hodnoty'!Q$8*$L$8)</f>
        <v>7160.4</v>
      </c>
      <c r="O74">
        <f t="shared" si="6"/>
        <v>12000</v>
      </c>
      <c r="P74">
        <f>(IF(K74&lt;14,0,IF(K74&lt;21,'Vstupní hodnoty'!N$4,IF(K74&lt;28,'Vstupní hodnoty'!N$5,IF(K74&lt;35,'Vstupní hodnoty'!N$6,'Vstupní hodnoty'!N$6))))+IF(K74&lt;14,0,IF(AR$15&lt;2,'Vstupní hodnoty'!O$6,IF(Model!AR$3&lt;3,'Vstupní hodnoty'!O$5,IF(Model!AR$3&lt;4,'Vstupní hodnoty'!O$4,0))))+'Vstupní hodnoty'!P$5)*L74++IF(K74&lt;21, 0, (C74-20)*'Vstupní hodnoty'!$O$5*'Vstupní hodnoty'!$A$17)*Vícenáklady!L74</f>
        <v>23816.005000000001</v>
      </c>
      <c r="Q74">
        <f>('Vstupní hodnoty'!P$5+'Roční bonus alt 2'!D60)*L74+IF(K74&lt;21, 0, (C74-20)*'Vstupní hodnoty'!$O$5*'Vstupní hodnoty'!$A$17)*Vícenáklady!L74</f>
        <v>45309.333333333336</v>
      </c>
    </row>
    <row r="75" spans="3:17" x14ac:dyDescent="0.2">
      <c r="C75">
        <v>69</v>
      </c>
      <c r="D75">
        <v>0.25</v>
      </c>
      <c r="E75">
        <f>C75*(D75)*(0*$L$3+ 'Vstupní hodnoty'!H$4*$L$4+'Vstupní hodnoty'!H$5*$L$5+'Vstupní hodnoty'!H$6*$L$6+'Vstupní hodnoty'!H$7*$L$7+'Vstupní hodnoty'!H$8*$L$8)</f>
        <v>2991.15</v>
      </c>
      <c r="F75">
        <f>C75*(D75)*(0*0.25+'Vstupní hodnoty'!Q$4*0.2+'Vstupní hodnoty'!Q$5*0.25+'Vstupní hodnoty'!Q$6*0.15+'Vstupní hodnoty'!Q$7*0.1+'Vstupní hodnoty'!Q$8*0.05)</f>
        <v>3632.85</v>
      </c>
      <c r="G75">
        <f t="shared" si="5"/>
        <v>6000</v>
      </c>
      <c r="H75">
        <f>(IF(C75&lt;14,0,IF(C75&lt;21,'Vstupní hodnoty'!N$4,IF(C75&lt;28,'Vstupní hodnoty'!N$5,IF(C75&lt;35,'Vstupní hodnoty'!N$6,'Vstupní hodnoty'!N$6))))+IF(C75&lt;14,0,IF(AI$15&lt;2,'Vstupní hodnoty'!O$6,IF(Model!AI$3&lt;3,'Vstupní hodnoty'!O$5,IF(Model!AI$3&lt;4,'Vstupní hodnoty'!O$4,0))))+'Vstupní hodnoty'!P$5)*D75+IF(C75&lt;21, 0, (C75-20)*'Vstupní hodnoty'!$O$5*'Vstupní hodnoty'!$A$17)*Vícenáklady!D75</f>
        <v>11934.002500000001</v>
      </c>
      <c r="I75" s="5">
        <f>('Vstupní hodnoty'!P$5+'Roční bonus alt 2'!D61)*D75+IF(C75&lt;21, 0, (C75-20)*'Vstupní hodnoty'!$O$5*'Vstupní hodnoty'!$A$17)*Vícenáklady!D75</f>
        <v>23027.333333333336</v>
      </c>
      <c r="K75">
        <v>69</v>
      </c>
      <c r="L75">
        <v>0.5</v>
      </c>
      <c r="M75">
        <f>K75*(L75)*(0*0.25+ 'Vstupní hodnoty'!H$4*0.2+'Vstupní hodnoty'!H$5*0.25+'Vstupní hodnoty'!H$6*0.15+'Vstupní hodnoty'!H$7*0.1+'Vstupní hodnoty'!H$8*0.05)</f>
        <v>5982.3</v>
      </c>
      <c r="N75">
        <f>K75*(L75)*(0*L$3+'Vstupní hodnoty'!Q$4*L$4+'Vstupní hodnoty'!Q$5*$L$5+'Vstupní hodnoty'!Q$6*$L$6+'Vstupní hodnoty'!Q$7*$L$7+'Vstupní hodnoty'!Q$8*$L$8)</f>
        <v>7265.7</v>
      </c>
      <c r="O75">
        <f t="shared" si="6"/>
        <v>12000</v>
      </c>
      <c r="P75">
        <f>(IF(K75&lt;14,0,IF(K75&lt;21,'Vstupní hodnoty'!N$4,IF(K75&lt;28,'Vstupní hodnoty'!N$5,IF(K75&lt;35,'Vstupní hodnoty'!N$6,'Vstupní hodnoty'!N$6))))+IF(K75&lt;14,0,IF(AR$15&lt;2,'Vstupní hodnoty'!O$6,IF(Model!AR$3&lt;3,'Vstupní hodnoty'!O$5,IF(Model!AR$3&lt;4,'Vstupní hodnoty'!O$4,0))))+'Vstupní hodnoty'!P$5)*L75++IF(K75&lt;21, 0, (C75-20)*'Vstupní hodnoty'!$O$5*'Vstupní hodnoty'!$A$17)*Vícenáklady!L75</f>
        <v>23868.005000000001</v>
      </c>
      <c r="Q75">
        <f>('Vstupní hodnoty'!P$5+'Roční bonus alt 2'!D61)*L75+IF(K75&lt;21, 0, (C75-20)*'Vstupní hodnoty'!$O$5*'Vstupní hodnoty'!$A$17)*Vícenáklady!L75</f>
        <v>46054.666666666672</v>
      </c>
    </row>
    <row r="76" spans="3:17" x14ac:dyDescent="0.2">
      <c r="C76">
        <v>70</v>
      </c>
      <c r="D76">
        <v>0.25</v>
      </c>
      <c r="E76">
        <f>C76*(D76)*(0*$L$3+ 'Vstupní hodnoty'!H$4*$L$4+'Vstupní hodnoty'!H$5*$L$5+'Vstupní hodnoty'!H$6*$L$6+'Vstupní hodnoty'!H$7*$L$7+'Vstupní hodnoty'!H$8*$L$8)</f>
        <v>3034.5</v>
      </c>
      <c r="F76">
        <f>C76*(D76)*(0*0.25+'Vstupní hodnoty'!Q$4*0.2+'Vstupní hodnoty'!Q$5*0.25+'Vstupní hodnoty'!Q$6*0.15+'Vstupní hodnoty'!Q$7*0.1+'Vstupní hodnoty'!Q$8*0.05)</f>
        <v>3685.5</v>
      </c>
      <c r="G76">
        <f t="shared" si="5"/>
        <v>6000</v>
      </c>
      <c r="H76">
        <f>(IF(C76&lt;14,0,IF(C76&lt;21,'Vstupní hodnoty'!N$4,IF(C76&lt;28,'Vstupní hodnoty'!N$5,IF(C76&lt;35,'Vstupní hodnoty'!N$6,'Vstupní hodnoty'!N$6))))+IF(C76&lt;14,0,IF(AI$15&lt;2,'Vstupní hodnoty'!O$6,IF(Model!AI$3&lt;3,'Vstupní hodnoty'!O$5,IF(Model!AI$3&lt;4,'Vstupní hodnoty'!O$4,0))))+'Vstupní hodnoty'!P$5)*D76+IF(C76&lt;21, 0, (C76-20)*'Vstupní hodnoty'!$O$5*'Vstupní hodnoty'!$A$17)*Vícenáklady!D76</f>
        <v>11960.002500000001</v>
      </c>
      <c r="I76" s="5">
        <f>('Vstupní hodnoty'!P$5+'Roční bonus alt 2'!D62)*D76+IF(C76&lt;21, 0, (C76-20)*'Vstupní hodnoty'!$O$5*'Vstupní hodnoty'!$A$17)*Vícenáklady!D76</f>
        <v>23400</v>
      </c>
      <c r="K76">
        <v>70</v>
      </c>
      <c r="L76">
        <v>0.25</v>
      </c>
      <c r="M76">
        <f>K76*(L76)*(0*0.25+ 'Vstupní hodnoty'!H$4*0.2+'Vstupní hodnoty'!H$5*0.25+'Vstupní hodnoty'!H$6*0.15+'Vstupní hodnoty'!H$7*0.1+'Vstupní hodnoty'!H$8*0.05)</f>
        <v>3034.5</v>
      </c>
      <c r="N76">
        <f>K76*(L76)*(0*L$3+'Vstupní hodnoty'!Q$4*L$4+'Vstupní hodnoty'!Q$5*$L$5+'Vstupní hodnoty'!Q$6*$L$6+'Vstupní hodnoty'!Q$7*$L$7+'Vstupní hodnoty'!Q$8*$L$8)</f>
        <v>3685.5</v>
      </c>
      <c r="O76">
        <f t="shared" si="6"/>
        <v>6000</v>
      </c>
      <c r="P76">
        <f>(IF(K76&lt;14,0,IF(K76&lt;21,'Vstupní hodnoty'!N$4,IF(K76&lt;28,'Vstupní hodnoty'!N$5,IF(K76&lt;35,'Vstupní hodnoty'!N$6,'Vstupní hodnoty'!N$6))))+IF(K76&lt;14,0,IF(AR$15&lt;2,'Vstupní hodnoty'!O$6,IF(Model!AR$3&lt;3,'Vstupní hodnoty'!O$5,IF(Model!AR$3&lt;4,'Vstupní hodnoty'!O$4,0))))+'Vstupní hodnoty'!P$5)*L76++IF(K76&lt;21, 0, (C76-20)*'Vstupní hodnoty'!$O$5*'Vstupní hodnoty'!$A$17)*Vícenáklady!L76</f>
        <v>11960.002500000001</v>
      </c>
      <c r="Q76">
        <f>('Vstupní hodnoty'!P$5+'Roční bonus alt 2'!D62)*L76+IF(K76&lt;21, 0, (C76-20)*'Vstupní hodnoty'!$O$5*'Vstupní hodnoty'!$A$17)*Vícenáklady!L76</f>
        <v>23400</v>
      </c>
    </row>
    <row r="77" spans="3:17" x14ac:dyDescent="0.2">
      <c r="C77">
        <v>71</v>
      </c>
      <c r="D77">
        <v>0.25</v>
      </c>
      <c r="E77">
        <f>C77*(D77)*(0*$L$3+ 'Vstupní hodnoty'!H$4*$L$4+'Vstupní hodnoty'!H$5*$L$5+'Vstupní hodnoty'!H$6*$L$6+'Vstupní hodnoty'!H$7*$L$7+'Vstupní hodnoty'!H$8*$L$8)</f>
        <v>3077.85</v>
      </c>
      <c r="F77">
        <f>C77*(D77)*(0*0.25+'Vstupní hodnoty'!Q$4*0.2+'Vstupní hodnoty'!Q$5*0.25+'Vstupní hodnoty'!Q$6*0.15+'Vstupní hodnoty'!Q$7*0.1+'Vstupní hodnoty'!Q$8*0.05)</f>
        <v>3738.15</v>
      </c>
      <c r="G77">
        <f t="shared" si="5"/>
        <v>6000</v>
      </c>
      <c r="H77">
        <f>(IF(C77&lt;14,0,IF(C77&lt;21,'Vstupní hodnoty'!N$4,IF(C77&lt;28,'Vstupní hodnoty'!N$5,IF(C77&lt;35,'Vstupní hodnoty'!N$6,'Vstupní hodnoty'!N$6))))+IF(C77&lt;14,0,IF(AI$15&lt;2,'Vstupní hodnoty'!O$6,IF(Model!AI$3&lt;3,'Vstupní hodnoty'!O$5,IF(Model!AI$3&lt;4,'Vstupní hodnoty'!O$4,0))))+'Vstupní hodnoty'!P$5)*D77+IF(C77&lt;21, 0, (C77-20)*'Vstupní hodnoty'!$O$5*'Vstupní hodnoty'!$A$17)*Vícenáklady!D77</f>
        <v>11986.002500000001</v>
      </c>
      <c r="I77" s="5">
        <f>('Vstupní hodnoty'!P$5+'Roční bonus alt 2'!D63)*D77+IF(C77&lt;21, 0, (C77-20)*'Vstupní hodnoty'!$O$5*'Vstupní hodnoty'!$A$17)*Vícenáklady!D77</f>
        <v>23772.666666666664</v>
      </c>
      <c r="K77">
        <v>71</v>
      </c>
      <c r="L77">
        <v>0.25</v>
      </c>
      <c r="M77">
        <f>K77*(L77)*(0*0.25+ 'Vstupní hodnoty'!H$4*0.2+'Vstupní hodnoty'!H$5*0.25+'Vstupní hodnoty'!H$6*0.15+'Vstupní hodnoty'!H$7*0.1+'Vstupní hodnoty'!H$8*0.05)</f>
        <v>3077.85</v>
      </c>
      <c r="N77">
        <f>K77*(L77)*(0*L$3+'Vstupní hodnoty'!Q$4*L$4+'Vstupní hodnoty'!Q$5*$L$5+'Vstupní hodnoty'!Q$6*$L$6+'Vstupní hodnoty'!Q$7*$L$7+'Vstupní hodnoty'!Q$8*$L$8)</f>
        <v>3738.15</v>
      </c>
      <c r="O77">
        <f t="shared" si="6"/>
        <v>6000</v>
      </c>
      <c r="P77">
        <f>(IF(K77&lt;14,0,IF(K77&lt;21,'Vstupní hodnoty'!N$4,IF(K77&lt;28,'Vstupní hodnoty'!N$5,IF(K77&lt;35,'Vstupní hodnoty'!N$6,'Vstupní hodnoty'!N$6))))+IF(K77&lt;14,0,IF(AR$15&lt;2,'Vstupní hodnoty'!O$6,IF(Model!AR$3&lt;3,'Vstupní hodnoty'!O$5,IF(Model!AR$3&lt;4,'Vstupní hodnoty'!O$4,0))))+'Vstupní hodnoty'!P$5)*L77++IF(K77&lt;21, 0, (C77-20)*'Vstupní hodnoty'!$O$5*'Vstupní hodnoty'!$A$17)*Vícenáklady!L77</f>
        <v>11986.002500000001</v>
      </c>
      <c r="Q77">
        <f>('Vstupní hodnoty'!P$5+'Roční bonus alt 2'!D63)*L77+IF(K77&lt;21, 0, (C77-20)*'Vstupní hodnoty'!$O$5*'Vstupní hodnoty'!$A$17)*Vícenáklady!L77</f>
        <v>23772.666666666664</v>
      </c>
    </row>
    <row r="78" spans="3:17" x14ac:dyDescent="0.2">
      <c r="C78">
        <v>72</v>
      </c>
      <c r="D78">
        <v>0.25</v>
      </c>
      <c r="E78">
        <f>C78*(D78)*(0*$L$3+ 'Vstupní hodnoty'!H$4*$L$4+'Vstupní hodnoty'!H$5*$L$5+'Vstupní hodnoty'!H$6*$L$6+'Vstupní hodnoty'!H$7*$L$7+'Vstupní hodnoty'!H$8*$L$8)</f>
        <v>3121.2000000000003</v>
      </c>
      <c r="F78">
        <f>C78*(D78)*(0*0.25+'Vstupní hodnoty'!Q$4*0.2+'Vstupní hodnoty'!Q$5*0.25+'Vstupní hodnoty'!Q$6*0.15+'Vstupní hodnoty'!Q$7*0.1+'Vstupní hodnoty'!Q$8*0.05)</f>
        <v>3790.7999999999997</v>
      </c>
      <c r="G78">
        <f t="shared" si="5"/>
        <v>6000</v>
      </c>
      <c r="H78">
        <f>(IF(C78&lt;14,0,IF(C78&lt;21,'Vstupní hodnoty'!N$4,IF(C78&lt;28,'Vstupní hodnoty'!N$5,IF(C78&lt;35,'Vstupní hodnoty'!N$6,'Vstupní hodnoty'!N$6))))+IF(C78&lt;14,0,IF(AI$15&lt;2,'Vstupní hodnoty'!O$6,IF(Model!AI$3&lt;3,'Vstupní hodnoty'!O$5,IF(Model!AI$3&lt;4,'Vstupní hodnoty'!O$4,0))))+'Vstupní hodnoty'!P$5)*D78+IF(C78&lt;21, 0, (C78-20)*'Vstupní hodnoty'!$O$5*'Vstupní hodnoty'!$A$17)*Vícenáklady!D78</f>
        <v>12012.002500000001</v>
      </c>
      <c r="I78" s="5">
        <f>('Vstupní hodnoty'!P$5+'Roční bonus alt 2'!D64)*D78+IF(C78&lt;21, 0, (C78-20)*'Vstupní hodnoty'!$O$5*'Vstupní hodnoty'!$A$17)*Vícenáklady!D78</f>
        <v>24145.333333333336</v>
      </c>
      <c r="K78">
        <v>72</v>
      </c>
      <c r="L78">
        <v>0.25</v>
      </c>
      <c r="M78">
        <f>K78*(L78)*(0*0.25+ 'Vstupní hodnoty'!H$4*0.2+'Vstupní hodnoty'!H$5*0.25+'Vstupní hodnoty'!H$6*0.15+'Vstupní hodnoty'!H$7*0.1+'Vstupní hodnoty'!H$8*0.05)</f>
        <v>3121.2000000000003</v>
      </c>
      <c r="N78">
        <f>K78*(L78)*(0*L$3+'Vstupní hodnoty'!Q$4*L$4+'Vstupní hodnoty'!Q$5*$L$5+'Vstupní hodnoty'!Q$6*$L$6+'Vstupní hodnoty'!Q$7*$L$7+'Vstupní hodnoty'!Q$8*$L$8)</f>
        <v>3790.7999999999997</v>
      </c>
      <c r="O78">
        <f t="shared" si="6"/>
        <v>6000</v>
      </c>
      <c r="P78">
        <f>(IF(K78&lt;14,0,IF(K78&lt;21,'Vstupní hodnoty'!N$4,IF(K78&lt;28,'Vstupní hodnoty'!N$5,IF(K78&lt;35,'Vstupní hodnoty'!N$6,'Vstupní hodnoty'!N$6))))+IF(K78&lt;14,0,IF(AR$15&lt;2,'Vstupní hodnoty'!O$6,IF(Model!AR$3&lt;3,'Vstupní hodnoty'!O$5,IF(Model!AR$3&lt;4,'Vstupní hodnoty'!O$4,0))))+'Vstupní hodnoty'!P$5)*L78++IF(K78&lt;21, 0, (C78-20)*'Vstupní hodnoty'!$O$5*'Vstupní hodnoty'!$A$17)*Vícenáklady!L78</f>
        <v>12012.002500000001</v>
      </c>
      <c r="Q78">
        <f>('Vstupní hodnoty'!P$5+'Roční bonus alt 2'!D64)*L78+IF(K78&lt;21, 0, (C78-20)*'Vstupní hodnoty'!$O$5*'Vstupní hodnoty'!$A$17)*Vícenáklady!L78</f>
        <v>24145.333333333336</v>
      </c>
    </row>
    <row r="79" spans="3:17" x14ac:dyDescent="0.2">
      <c r="C79">
        <v>73</v>
      </c>
      <c r="D79">
        <v>0.25</v>
      </c>
      <c r="E79">
        <f>C79*(D79)*(0*$L$3+ 'Vstupní hodnoty'!H$4*$L$4+'Vstupní hodnoty'!H$5*$L$5+'Vstupní hodnoty'!H$6*$L$6+'Vstupní hodnoty'!H$7*$L$7+'Vstupní hodnoty'!H$8*$L$8)</f>
        <v>3164.55</v>
      </c>
      <c r="F79">
        <f>C79*(D79)*(0*0.25+'Vstupní hodnoty'!Q$4*0.2+'Vstupní hodnoty'!Q$5*0.25+'Vstupní hodnoty'!Q$6*0.15+'Vstupní hodnoty'!Q$7*0.1+'Vstupní hodnoty'!Q$8*0.05)</f>
        <v>3843.45</v>
      </c>
      <c r="G79">
        <f t="shared" si="5"/>
        <v>6000</v>
      </c>
      <c r="H79">
        <f>(IF(C79&lt;14,0,IF(C79&lt;21,'Vstupní hodnoty'!N$4,IF(C79&lt;28,'Vstupní hodnoty'!N$5,IF(C79&lt;35,'Vstupní hodnoty'!N$6,'Vstupní hodnoty'!N$6))))+IF(C79&lt;14,0,IF(AI$15&lt;2,'Vstupní hodnoty'!O$6,IF(Model!AI$3&lt;3,'Vstupní hodnoty'!O$5,IF(Model!AI$3&lt;4,'Vstupní hodnoty'!O$4,0))))+'Vstupní hodnoty'!P$5)*D79+IF(C79&lt;21, 0, (C79-20)*'Vstupní hodnoty'!$O$5*'Vstupní hodnoty'!$A$17)*Vícenáklady!D79</f>
        <v>12038.002500000001</v>
      </c>
      <c r="I79" s="5">
        <f>('Vstupní hodnoty'!P$5+'Roční bonus alt 2'!D65)*D79+IF(C79&lt;21, 0, (C79-20)*'Vstupní hodnoty'!$O$5*'Vstupní hodnoty'!$A$17)*Vícenáklady!D79</f>
        <v>24518</v>
      </c>
      <c r="K79">
        <v>73</v>
      </c>
      <c r="L79">
        <v>0.25</v>
      </c>
      <c r="M79">
        <f>K79*(L79)*(0*0.25+ 'Vstupní hodnoty'!H$4*0.2+'Vstupní hodnoty'!H$5*0.25+'Vstupní hodnoty'!H$6*0.15+'Vstupní hodnoty'!H$7*0.1+'Vstupní hodnoty'!H$8*0.05)</f>
        <v>3164.55</v>
      </c>
      <c r="N79">
        <f>K79*(L79)*(0*L$3+'Vstupní hodnoty'!Q$4*L$4+'Vstupní hodnoty'!Q$5*$L$5+'Vstupní hodnoty'!Q$6*$L$6+'Vstupní hodnoty'!Q$7*$L$7+'Vstupní hodnoty'!Q$8*$L$8)</f>
        <v>3843.45</v>
      </c>
      <c r="O79">
        <f t="shared" si="6"/>
        <v>6000</v>
      </c>
      <c r="P79">
        <f>(IF(K79&lt;14,0,IF(K79&lt;21,'Vstupní hodnoty'!N$4,IF(K79&lt;28,'Vstupní hodnoty'!N$5,IF(K79&lt;35,'Vstupní hodnoty'!N$6,'Vstupní hodnoty'!N$6))))+IF(K79&lt;14,0,IF(AR$15&lt;2,'Vstupní hodnoty'!O$6,IF(Model!AR$3&lt;3,'Vstupní hodnoty'!O$5,IF(Model!AR$3&lt;4,'Vstupní hodnoty'!O$4,0))))+'Vstupní hodnoty'!P$5)*L79++IF(K79&lt;21, 0, (C79-20)*'Vstupní hodnoty'!$O$5*'Vstupní hodnoty'!$A$17)*Vícenáklady!L79</f>
        <v>12038.002500000001</v>
      </c>
      <c r="Q79">
        <f>('Vstupní hodnoty'!P$5+'Roční bonus alt 2'!D65)*L79+IF(K79&lt;21, 0, (C79-20)*'Vstupní hodnoty'!$O$5*'Vstupní hodnoty'!$A$17)*Vícenáklady!L79</f>
        <v>24518</v>
      </c>
    </row>
    <row r="80" spans="3:17" x14ac:dyDescent="0.2">
      <c r="C80">
        <v>74</v>
      </c>
      <c r="D80">
        <v>0.25</v>
      </c>
      <c r="E80">
        <f>C80*(D80)*(0*$L$3+ 'Vstupní hodnoty'!H$4*$L$4+'Vstupní hodnoty'!H$5*$L$5+'Vstupní hodnoty'!H$6*$L$6+'Vstupní hodnoty'!H$7*$L$7+'Vstupní hodnoty'!H$8*$L$8)</f>
        <v>3207.9</v>
      </c>
      <c r="F80">
        <f>C80*(D80)*(0*0.25+'Vstupní hodnoty'!Q$4*0.2+'Vstupní hodnoty'!Q$5*0.25+'Vstupní hodnoty'!Q$6*0.15+'Vstupní hodnoty'!Q$7*0.1+'Vstupní hodnoty'!Q$8*0.05)</f>
        <v>3896.1</v>
      </c>
      <c r="G80">
        <f t="shared" si="5"/>
        <v>6000</v>
      </c>
      <c r="H80">
        <f>(IF(C80&lt;14,0,IF(C80&lt;21,'Vstupní hodnoty'!N$4,IF(C80&lt;28,'Vstupní hodnoty'!N$5,IF(C80&lt;35,'Vstupní hodnoty'!N$6,'Vstupní hodnoty'!N$6))))+IF(C80&lt;14,0,IF(AI$15&lt;2,'Vstupní hodnoty'!O$6,IF(Model!AI$3&lt;3,'Vstupní hodnoty'!O$5,IF(Model!AI$3&lt;4,'Vstupní hodnoty'!O$4,0))))+'Vstupní hodnoty'!P$5)*D80+IF(C80&lt;21, 0, (C80-20)*'Vstupní hodnoty'!$O$5*'Vstupní hodnoty'!$A$17)*Vícenáklady!D80</f>
        <v>12064.002500000001</v>
      </c>
      <c r="I80" s="5">
        <f>('Vstupní hodnoty'!P$5+'Roční bonus alt 2'!D66)*D80+IF(C80&lt;21, 0, (C80-20)*'Vstupní hodnoty'!$O$5*'Vstupní hodnoty'!$A$17)*Vícenáklady!D80</f>
        <v>24890.666666666664</v>
      </c>
      <c r="K80">
        <v>74</v>
      </c>
      <c r="L80">
        <v>0.25</v>
      </c>
      <c r="M80">
        <f>K80*(L80)*(0*0.25+ 'Vstupní hodnoty'!H$4*0.2+'Vstupní hodnoty'!H$5*0.25+'Vstupní hodnoty'!H$6*0.15+'Vstupní hodnoty'!H$7*0.1+'Vstupní hodnoty'!H$8*0.05)</f>
        <v>3207.9</v>
      </c>
      <c r="N80">
        <f>K80*(L80)*(0*L$3+'Vstupní hodnoty'!Q$4*L$4+'Vstupní hodnoty'!Q$5*$L$5+'Vstupní hodnoty'!Q$6*$L$6+'Vstupní hodnoty'!Q$7*$L$7+'Vstupní hodnoty'!Q$8*$L$8)</f>
        <v>3896.1</v>
      </c>
      <c r="O80">
        <f t="shared" si="6"/>
        <v>6000</v>
      </c>
      <c r="P80">
        <f>(IF(K80&lt;14,0,IF(K80&lt;21,'Vstupní hodnoty'!N$4,IF(K80&lt;28,'Vstupní hodnoty'!N$5,IF(K80&lt;35,'Vstupní hodnoty'!N$6,'Vstupní hodnoty'!N$6))))+IF(K80&lt;14,0,IF(AR$15&lt;2,'Vstupní hodnoty'!O$6,IF(Model!AR$3&lt;3,'Vstupní hodnoty'!O$5,IF(Model!AR$3&lt;4,'Vstupní hodnoty'!O$4,0))))+'Vstupní hodnoty'!P$5)*L80++IF(K80&lt;21, 0, (C80-20)*'Vstupní hodnoty'!$O$5*'Vstupní hodnoty'!$A$17)*Vícenáklady!L80</f>
        <v>12064.002500000001</v>
      </c>
      <c r="Q80">
        <f>('Vstupní hodnoty'!P$5+'Roční bonus alt 2'!D66)*L80+IF(K80&lt;21, 0, (C80-20)*'Vstupní hodnoty'!$O$5*'Vstupní hodnoty'!$A$17)*Vícenáklady!L80</f>
        <v>24890.666666666664</v>
      </c>
    </row>
    <row r="81" spans="3:17" x14ac:dyDescent="0.2">
      <c r="C81">
        <v>75</v>
      </c>
      <c r="D81">
        <v>0.25</v>
      </c>
      <c r="E81">
        <f>C81*(D81)*(0*$L$3+ 'Vstupní hodnoty'!H$4*$L$4+'Vstupní hodnoty'!H$5*$L$5+'Vstupní hodnoty'!H$6*$L$6+'Vstupní hodnoty'!H$7*$L$7+'Vstupní hodnoty'!H$8*$L$8)</f>
        <v>3251.25</v>
      </c>
      <c r="F81">
        <f>C81*(D81)*(0*0.25+'Vstupní hodnoty'!Q$4*0.2+'Vstupní hodnoty'!Q$5*0.25+'Vstupní hodnoty'!Q$6*0.15+'Vstupní hodnoty'!Q$7*0.1+'Vstupní hodnoty'!Q$8*0.05)</f>
        <v>3948.75</v>
      </c>
      <c r="G81">
        <f t="shared" si="5"/>
        <v>6000</v>
      </c>
      <c r="H81">
        <f>(IF(C81&lt;14,0,IF(C81&lt;21,'Vstupní hodnoty'!N$4,IF(C81&lt;28,'Vstupní hodnoty'!N$5,IF(C81&lt;35,'Vstupní hodnoty'!N$6,'Vstupní hodnoty'!N$6))))+IF(C81&lt;14,0,IF(AI$15&lt;2,'Vstupní hodnoty'!O$6,IF(Model!AI$3&lt;3,'Vstupní hodnoty'!O$5,IF(Model!AI$3&lt;4,'Vstupní hodnoty'!O$4,0))))+'Vstupní hodnoty'!P$5)*D81+IF(C81&lt;21, 0, (C81-20)*'Vstupní hodnoty'!$O$5*'Vstupní hodnoty'!$A$17)*Vícenáklady!D81</f>
        <v>12090.002500000001</v>
      </c>
      <c r="I81" s="5">
        <f>('Vstupní hodnoty'!P$5+'Roční bonus alt 2'!D67)*D81+IF(C81&lt;21, 0, (C81-20)*'Vstupní hodnoty'!$O$5*'Vstupní hodnoty'!$A$17)*Vícenáklady!D81</f>
        <v>25263.333333333336</v>
      </c>
      <c r="K81">
        <v>75</v>
      </c>
      <c r="L81">
        <v>0.25</v>
      </c>
      <c r="M81">
        <f>K81*(L81)*(0*0.25+ 'Vstupní hodnoty'!H$4*0.2+'Vstupní hodnoty'!H$5*0.25+'Vstupní hodnoty'!H$6*0.15+'Vstupní hodnoty'!H$7*0.1+'Vstupní hodnoty'!H$8*0.05)</f>
        <v>3251.25</v>
      </c>
      <c r="N81">
        <f>K81*(L81)*(0*L$3+'Vstupní hodnoty'!Q$4*L$4+'Vstupní hodnoty'!Q$5*$L$5+'Vstupní hodnoty'!Q$6*$L$6+'Vstupní hodnoty'!Q$7*$L$7+'Vstupní hodnoty'!Q$8*$L$8)</f>
        <v>3948.75</v>
      </c>
      <c r="O81">
        <f t="shared" si="6"/>
        <v>6000</v>
      </c>
      <c r="P81">
        <f>(IF(K81&lt;14,0,IF(K81&lt;21,'Vstupní hodnoty'!N$4,IF(K81&lt;28,'Vstupní hodnoty'!N$5,IF(K81&lt;35,'Vstupní hodnoty'!N$6,'Vstupní hodnoty'!N$6))))+IF(K81&lt;14,0,IF(AR$15&lt;2,'Vstupní hodnoty'!O$6,IF(Model!AR$3&lt;3,'Vstupní hodnoty'!O$5,IF(Model!AR$3&lt;4,'Vstupní hodnoty'!O$4,0))))+'Vstupní hodnoty'!P$5)*L81++IF(K81&lt;21, 0, (C81-20)*'Vstupní hodnoty'!$O$5*'Vstupní hodnoty'!$A$17)*Vícenáklady!L81</f>
        <v>12090.002500000001</v>
      </c>
      <c r="Q81">
        <f>('Vstupní hodnoty'!P$5+'Roční bonus alt 2'!D67)*L81+IF(K81&lt;21, 0, (C81-20)*'Vstupní hodnoty'!$O$5*'Vstupní hodnoty'!$A$17)*Vícenáklady!L81</f>
        <v>25263.333333333336</v>
      </c>
    </row>
    <row r="82" spans="3:17" x14ac:dyDescent="0.2">
      <c r="C82">
        <v>76</v>
      </c>
      <c r="D82">
        <v>0.25</v>
      </c>
      <c r="E82">
        <f>C82*(D82)*(0*$L$3+ 'Vstupní hodnoty'!H$4*$L$4+'Vstupní hodnoty'!H$5*$L$5+'Vstupní hodnoty'!H$6*$L$6+'Vstupní hodnoty'!H$7*$L$7+'Vstupní hodnoty'!H$8*$L$8)</f>
        <v>3294.6</v>
      </c>
      <c r="F82">
        <f>C82*(D82)*(0*0.25+'Vstupní hodnoty'!Q$4*0.2+'Vstupní hodnoty'!Q$5*0.25+'Vstupní hodnoty'!Q$6*0.15+'Vstupní hodnoty'!Q$7*0.1+'Vstupní hodnoty'!Q$8*0.05)</f>
        <v>4001.4</v>
      </c>
      <c r="G82">
        <f t="shared" si="5"/>
        <v>6000</v>
      </c>
      <c r="H82">
        <f>(IF(C82&lt;14,0,IF(C82&lt;21,'Vstupní hodnoty'!N$4,IF(C82&lt;28,'Vstupní hodnoty'!N$5,IF(C82&lt;35,'Vstupní hodnoty'!N$6,'Vstupní hodnoty'!N$6))))+IF(C82&lt;14,0,IF(AI$15&lt;2,'Vstupní hodnoty'!O$6,IF(Model!AI$3&lt;3,'Vstupní hodnoty'!O$5,IF(Model!AI$3&lt;4,'Vstupní hodnoty'!O$4,0))))+'Vstupní hodnoty'!P$5)*D82+IF(C82&lt;21, 0, (C82-20)*'Vstupní hodnoty'!$O$5*'Vstupní hodnoty'!$A$17)*Vícenáklady!D82</f>
        <v>12116.002500000001</v>
      </c>
      <c r="I82" s="5">
        <f>('Vstupní hodnoty'!P$5+'Roční bonus alt 2'!D68)*D82+IF(C82&lt;21, 0, (C82-20)*'Vstupní hodnoty'!$O$5*'Vstupní hodnoty'!$A$17)*Vícenáklady!D82</f>
        <v>25636</v>
      </c>
      <c r="K82">
        <v>76</v>
      </c>
      <c r="L82">
        <v>0.25</v>
      </c>
      <c r="M82">
        <f>K82*(L82)*(0*0.25+ 'Vstupní hodnoty'!H$4*0.2+'Vstupní hodnoty'!H$5*0.25+'Vstupní hodnoty'!H$6*0.15+'Vstupní hodnoty'!H$7*0.1+'Vstupní hodnoty'!H$8*0.05)</f>
        <v>3294.6</v>
      </c>
      <c r="N82">
        <f>K82*(L82)*(0*L$3+'Vstupní hodnoty'!Q$4*L$4+'Vstupní hodnoty'!Q$5*$L$5+'Vstupní hodnoty'!Q$6*$L$6+'Vstupní hodnoty'!Q$7*$L$7+'Vstupní hodnoty'!Q$8*$L$8)</f>
        <v>4001.4</v>
      </c>
      <c r="O82">
        <f t="shared" si="6"/>
        <v>6000</v>
      </c>
      <c r="P82">
        <f>(IF(K82&lt;14,0,IF(K82&lt;21,'Vstupní hodnoty'!N$4,IF(K82&lt;28,'Vstupní hodnoty'!N$5,IF(K82&lt;35,'Vstupní hodnoty'!N$6,'Vstupní hodnoty'!N$6))))+IF(K82&lt;14,0,IF(AR$15&lt;2,'Vstupní hodnoty'!O$6,IF(Model!AR$3&lt;3,'Vstupní hodnoty'!O$5,IF(Model!AR$3&lt;4,'Vstupní hodnoty'!O$4,0))))+'Vstupní hodnoty'!P$5)*L82++IF(K82&lt;21, 0, (C82-20)*'Vstupní hodnoty'!$O$5*'Vstupní hodnoty'!$A$17)*Vícenáklady!L82</f>
        <v>12116.002500000001</v>
      </c>
      <c r="Q82">
        <f>('Vstupní hodnoty'!P$5+'Roční bonus alt 2'!D68)*L82+IF(K82&lt;21, 0, (C82-20)*'Vstupní hodnoty'!$O$5*'Vstupní hodnoty'!$A$17)*Vícenáklady!L82</f>
        <v>25636</v>
      </c>
    </row>
    <row r="83" spans="3:17" x14ac:dyDescent="0.2">
      <c r="C83">
        <v>77</v>
      </c>
      <c r="D83">
        <v>0.25</v>
      </c>
      <c r="E83">
        <f>C83*(D83)*(0*$L$3+ 'Vstupní hodnoty'!H$4*$L$4+'Vstupní hodnoty'!H$5*$L$5+'Vstupní hodnoty'!H$6*$L$6+'Vstupní hodnoty'!H$7*$L$7+'Vstupní hodnoty'!H$8*$L$8)</f>
        <v>3337.9500000000003</v>
      </c>
      <c r="F83">
        <f>C83*(D83)*(0*0.25+'Vstupní hodnoty'!Q$4*0.2+'Vstupní hodnoty'!Q$5*0.25+'Vstupní hodnoty'!Q$6*0.15+'Vstupní hodnoty'!Q$7*0.1+'Vstupní hodnoty'!Q$8*0.05)</f>
        <v>4054.0499999999997</v>
      </c>
      <c r="G83">
        <f t="shared" si="5"/>
        <v>6000</v>
      </c>
      <c r="H83">
        <f>(IF(C83&lt;14,0,IF(C83&lt;21,'Vstupní hodnoty'!N$4,IF(C83&lt;28,'Vstupní hodnoty'!N$5,IF(C83&lt;35,'Vstupní hodnoty'!N$6,'Vstupní hodnoty'!N$6))))+IF(C83&lt;14,0,IF(AI$15&lt;2,'Vstupní hodnoty'!O$6,IF(Model!AI$3&lt;3,'Vstupní hodnoty'!O$5,IF(Model!AI$3&lt;4,'Vstupní hodnoty'!O$4,0))))+'Vstupní hodnoty'!P$5)*D83+IF(C83&lt;21, 0, (C83-20)*'Vstupní hodnoty'!$O$5*'Vstupní hodnoty'!$A$17)*Vícenáklady!D83</f>
        <v>12142.002500000001</v>
      </c>
      <c r="I83" s="5">
        <f>('Vstupní hodnoty'!P$5+'Roční bonus alt 2'!D69)*D83+IF(C83&lt;21, 0, (C83-20)*'Vstupní hodnoty'!$O$5*'Vstupní hodnoty'!$A$17)*Vícenáklady!D83</f>
        <v>26008.666666666664</v>
      </c>
      <c r="K83">
        <v>77</v>
      </c>
      <c r="L83">
        <v>0.25</v>
      </c>
      <c r="M83">
        <f>K83*(L83)*(0*0.25+ 'Vstupní hodnoty'!H$4*0.2+'Vstupní hodnoty'!H$5*0.25+'Vstupní hodnoty'!H$6*0.15+'Vstupní hodnoty'!H$7*0.1+'Vstupní hodnoty'!H$8*0.05)</f>
        <v>3337.9500000000003</v>
      </c>
      <c r="N83">
        <f>K83*(L83)*(0*L$3+'Vstupní hodnoty'!Q$4*L$4+'Vstupní hodnoty'!Q$5*$L$5+'Vstupní hodnoty'!Q$6*$L$6+'Vstupní hodnoty'!Q$7*$L$7+'Vstupní hodnoty'!Q$8*$L$8)</f>
        <v>4054.0499999999997</v>
      </c>
      <c r="O83">
        <f t="shared" si="6"/>
        <v>6000</v>
      </c>
      <c r="P83">
        <f>(IF(K83&lt;14,0,IF(K83&lt;21,'Vstupní hodnoty'!N$4,IF(K83&lt;28,'Vstupní hodnoty'!N$5,IF(K83&lt;35,'Vstupní hodnoty'!N$6,'Vstupní hodnoty'!N$6))))+IF(K83&lt;14,0,IF(AR$15&lt;2,'Vstupní hodnoty'!O$6,IF(Model!AR$3&lt;3,'Vstupní hodnoty'!O$5,IF(Model!AR$3&lt;4,'Vstupní hodnoty'!O$4,0))))+'Vstupní hodnoty'!P$5)*L83++IF(K83&lt;21, 0, (C83-20)*'Vstupní hodnoty'!$O$5*'Vstupní hodnoty'!$A$17)*Vícenáklady!L83</f>
        <v>12142.002500000001</v>
      </c>
      <c r="Q83">
        <f>('Vstupní hodnoty'!P$5+'Roční bonus alt 2'!D69)*L83+IF(K83&lt;21, 0, (C83-20)*'Vstupní hodnoty'!$O$5*'Vstupní hodnoty'!$A$17)*Vícenáklady!L83</f>
        <v>26008.666666666664</v>
      </c>
    </row>
    <row r="84" spans="3:17" x14ac:dyDescent="0.2">
      <c r="C84">
        <v>78</v>
      </c>
      <c r="D84">
        <v>0.25</v>
      </c>
      <c r="E84">
        <f>C84*(D84)*(0*$L$3+ 'Vstupní hodnoty'!H$4*$L$4+'Vstupní hodnoty'!H$5*$L$5+'Vstupní hodnoty'!H$6*$L$6+'Vstupní hodnoty'!H$7*$L$7+'Vstupní hodnoty'!H$8*$L$8)</f>
        <v>3381.3</v>
      </c>
      <c r="F84">
        <f>C84*(D84)*(0*0.25+'Vstupní hodnoty'!Q$4*0.2+'Vstupní hodnoty'!Q$5*0.25+'Vstupní hodnoty'!Q$6*0.15+'Vstupní hodnoty'!Q$7*0.1+'Vstupní hodnoty'!Q$8*0.05)</f>
        <v>4106.7</v>
      </c>
      <c r="G84">
        <f t="shared" ref="G84:G90" si="7">IF(C84&lt;14, 0, IF(C84&lt;21, 18000, 24000))*D84</f>
        <v>6000</v>
      </c>
      <c r="H84">
        <f>(IF(C84&lt;14,0,IF(C84&lt;21,'Vstupní hodnoty'!N$4,IF(C84&lt;28,'Vstupní hodnoty'!N$5,IF(C84&lt;35,'Vstupní hodnoty'!N$6,'Vstupní hodnoty'!N$6))))+IF(C84&lt;14,0,IF(AI$15&lt;2,'Vstupní hodnoty'!O$6,IF(Model!AI$3&lt;3,'Vstupní hodnoty'!O$5,IF(Model!AI$3&lt;4,'Vstupní hodnoty'!O$4,0))))+'Vstupní hodnoty'!P$5)*D84+IF(C84&lt;21, 0, (C84-20)*'Vstupní hodnoty'!$O$5*'Vstupní hodnoty'!$A$17)*Vícenáklady!D84</f>
        <v>12168.002500000001</v>
      </c>
      <c r="I84" s="5">
        <f>('Vstupní hodnoty'!P$5+'Roční bonus alt 2'!D70)*D84+IF(C84&lt;21, 0, (C84-20)*'Vstupní hodnoty'!$O$5*'Vstupní hodnoty'!$A$17)*Vícenáklady!D84</f>
        <v>26381.333333333336</v>
      </c>
      <c r="K84">
        <v>78</v>
      </c>
      <c r="L84">
        <v>0.25</v>
      </c>
      <c r="M84">
        <f>K84*(L84)*(0*0.25+ 'Vstupní hodnoty'!H$4*0.2+'Vstupní hodnoty'!H$5*0.25+'Vstupní hodnoty'!H$6*0.15+'Vstupní hodnoty'!H$7*0.1+'Vstupní hodnoty'!H$8*0.05)</f>
        <v>3381.3</v>
      </c>
      <c r="N84">
        <f>K84*(L84)*(0*L$3+'Vstupní hodnoty'!Q$4*L$4+'Vstupní hodnoty'!Q$5*$L$5+'Vstupní hodnoty'!Q$6*$L$6+'Vstupní hodnoty'!Q$7*$L$7+'Vstupní hodnoty'!Q$8*$L$8)</f>
        <v>4106.7</v>
      </c>
      <c r="O84">
        <f t="shared" ref="O84:O90" si="8">IF(K84&lt;14, 0, IF(K84&lt;21, 18000, 24000))*L84</f>
        <v>6000</v>
      </c>
      <c r="P84">
        <f>(IF(K84&lt;14,0,IF(K84&lt;21,'Vstupní hodnoty'!N$4,IF(K84&lt;28,'Vstupní hodnoty'!N$5,IF(K84&lt;35,'Vstupní hodnoty'!N$6,'Vstupní hodnoty'!N$6))))+IF(K84&lt;14,0,IF(AR$15&lt;2,'Vstupní hodnoty'!O$6,IF(Model!AR$3&lt;3,'Vstupní hodnoty'!O$5,IF(Model!AR$3&lt;4,'Vstupní hodnoty'!O$4,0))))+'Vstupní hodnoty'!P$5)*L84++IF(K84&lt;21, 0, (C84-20)*'Vstupní hodnoty'!$O$5*'Vstupní hodnoty'!$A$17)*Vícenáklady!L84</f>
        <v>12168.002500000001</v>
      </c>
      <c r="Q84">
        <f>('Vstupní hodnoty'!P$5+'Roční bonus alt 2'!D70)*L84+IF(K84&lt;21, 0, (C84-20)*'Vstupní hodnoty'!$O$5*'Vstupní hodnoty'!$A$17)*Vícenáklady!L84</f>
        <v>26381.333333333336</v>
      </c>
    </row>
    <row r="85" spans="3:17" x14ac:dyDescent="0.2">
      <c r="C85">
        <v>79</v>
      </c>
      <c r="D85">
        <v>0.25</v>
      </c>
      <c r="E85">
        <f>C85*(D85)*(0*$L$3+ 'Vstupní hodnoty'!H$4*$L$4+'Vstupní hodnoty'!H$5*$L$5+'Vstupní hodnoty'!H$6*$L$6+'Vstupní hodnoty'!H$7*$L$7+'Vstupní hodnoty'!H$8*$L$8)</f>
        <v>3424.65</v>
      </c>
      <c r="F85">
        <f>C85*(D85)*(0*0.25+'Vstupní hodnoty'!Q$4*0.2+'Vstupní hodnoty'!Q$5*0.25+'Vstupní hodnoty'!Q$6*0.15+'Vstupní hodnoty'!Q$7*0.1+'Vstupní hodnoty'!Q$8*0.05)</f>
        <v>4159.3499999999995</v>
      </c>
      <c r="G85">
        <f>IF(C85&lt;14, 0, IF(C85&lt;21, 18000, 24000))*D85</f>
        <v>6000</v>
      </c>
      <c r="H85">
        <f>(IF(C85&lt;14,0,IF(C85&lt;21,'Vstupní hodnoty'!N$4,IF(C85&lt;28,'Vstupní hodnoty'!N$5,IF(C85&lt;35,'Vstupní hodnoty'!N$6,'Vstupní hodnoty'!N$6))))+IF(C85&lt;14,0,IF(AI$15&lt;2,'Vstupní hodnoty'!O$6,IF(Model!AI$3&lt;3,'Vstupní hodnoty'!O$5,IF(Model!AI$3&lt;4,'Vstupní hodnoty'!O$4,0))))+'Vstupní hodnoty'!P$5)*D85+IF(C85&lt;21, 0, (C85-20)*'Vstupní hodnoty'!$O$5*'Vstupní hodnoty'!$A$17)*Vícenáklady!D85</f>
        <v>12194.002500000001</v>
      </c>
      <c r="I85" s="5">
        <f>('Vstupní hodnoty'!P$5+'Roční bonus alt 2'!D71)*D85+IF(C85&lt;21, 0, (C85-20)*'Vstupní hodnoty'!$O$5*'Vstupní hodnoty'!$A$17)*Vícenáklady!D85</f>
        <v>26754</v>
      </c>
      <c r="K85">
        <v>79</v>
      </c>
      <c r="L85">
        <v>0.25</v>
      </c>
      <c r="M85">
        <f>K85*(L85)*(0*0.25+ 'Vstupní hodnoty'!H$4*0.2+'Vstupní hodnoty'!H$5*0.25+'Vstupní hodnoty'!H$6*0.15+'Vstupní hodnoty'!H$7*0.1+'Vstupní hodnoty'!H$8*0.05)</f>
        <v>3424.65</v>
      </c>
      <c r="N85">
        <f>K85*(L85)*(0*L$3+'Vstupní hodnoty'!Q$4*L$4+'Vstupní hodnoty'!Q$5*$L$5+'Vstupní hodnoty'!Q$6*$L$6+'Vstupní hodnoty'!Q$7*$L$7+'Vstupní hodnoty'!Q$8*$L$8)</f>
        <v>4159.3499999999995</v>
      </c>
      <c r="O85">
        <f t="shared" si="8"/>
        <v>6000</v>
      </c>
      <c r="P85">
        <f>(IF(K85&lt;14,0,IF(K85&lt;21,'Vstupní hodnoty'!N$4,IF(K85&lt;28,'Vstupní hodnoty'!N$5,IF(K85&lt;35,'Vstupní hodnoty'!N$6,'Vstupní hodnoty'!N$6))))+IF(K85&lt;14,0,IF(AR$15&lt;2,'Vstupní hodnoty'!O$6,IF(Model!AR$3&lt;3,'Vstupní hodnoty'!O$5,IF(Model!AR$3&lt;4,'Vstupní hodnoty'!O$4,0))))+'Vstupní hodnoty'!P$5)*L85++IF(K85&lt;21, 0, (C85-20)*'Vstupní hodnoty'!$O$5*'Vstupní hodnoty'!$A$17)*Vícenáklady!L85</f>
        <v>12194.002500000001</v>
      </c>
      <c r="Q85">
        <f>('Vstupní hodnoty'!P$5+'Roční bonus alt 2'!D71)*L85+IF(K85&lt;21, 0, (C85-20)*'Vstupní hodnoty'!$O$5*'Vstupní hodnoty'!$A$17)*Vícenáklady!L85</f>
        <v>26754</v>
      </c>
    </row>
    <row r="86" spans="3:17" x14ac:dyDescent="0.2">
      <c r="C86">
        <v>80</v>
      </c>
      <c r="D86">
        <v>0.25</v>
      </c>
      <c r="E86">
        <f>C86*(D86)*(0*$L$3+ 'Vstupní hodnoty'!H$4*$L$4+'Vstupní hodnoty'!H$5*$L$5+'Vstupní hodnoty'!H$6*$L$6+'Vstupní hodnoty'!H$7*$L$7+'Vstupní hodnoty'!H$8*$L$8)</f>
        <v>3468</v>
      </c>
      <c r="F86">
        <f>C86*(D86)*(0*0.25+'Vstupní hodnoty'!Q$4*0.2+'Vstupní hodnoty'!Q$5*0.25+'Vstupní hodnoty'!Q$6*0.15+'Vstupní hodnoty'!Q$7*0.1+'Vstupní hodnoty'!Q$8*0.05)</f>
        <v>4212</v>
      </c>
      <c r="G86">
        <f t="shared" si="7"/>
        <v>6000</v>
      </c>
      <c r="H86">
        <f>(IF(C86&lt;14,0,IF(C86&lt;21,'Vstupní hodnoty'!N$4,IF(C86&lt;28,'Vstupní hodnoty'!N$5,IF(C86&lt;35,'Vstupní hodnoty'!N$6,'Vstupní hodnoty'!N$6))))+IF(C86&lt;14,0,IF(AI$15&lt;2,'Vstupní hodnoty'!O$6,IF(Model!AI$3&lt;3,'Vstupní hodnoty'!O$5,IF(Model!AI$3&lt;4,'Vstupní hodnoty'!O$4,0))))+'Vstupní hodnoty'!P$5)*D86+IF(C86&lt;21, 0, (C86-20)*'Vstupní hodnoty'!$O$5*'Vstupní hodnoty'!$A$17)*Vícenáklady!D86</f>
        <v>12220.002500000001</v>
      </c>
      <c r="I86" s="5">
        <f>('Vstupní hodnoty'!P$5+'Roční bonus alt 2'!D72)*D86+IF(C86&lt;21, 0, (C86-20)*'Vstupní hodnoty'!$O$5*'Vstupní hodnoty'!$A$17)*Vícenáklady!D86</f>
        <v>27126.666666666664</v>
      </c>
      <c r="K86">
        <v>80</v>
      </c>
      <c r="L86">
        <v>0.25</v>
      </c>
      <c r="M86">
        <f>K86*(L86)*(0*0.25+ 'Vstupní hodnoty'!H$4*0.2+'Vstupní hodnoty'!H$5*0.25+'Vstupní hodnoty'!H$6*0.15+'Vstupní hodnoty'!H$7*0.1+'Vstupní hodnoty'!H$8*0.05)</f>
        <v>3468</v>
      </c>
      <c r="N86">
        <f>K86*(L86)*(0*L$3+'Vstupní hodnoty'!Q$4*L$4+'Vstupní hodnoty'!Q$5*$L$5+'Vstupní hodnoty'!Q$6*$L$6+'Vstupní hodnoty'!Q$7*$L$7+'Vstupní hodnoty'!Q$8*$L$8)</f>
        <v>4212</v>
      </c>
      <c r="O86">
        <f t="shared" si="8"/>
        <v>6000</v>
      </c>
      <c r="P86">
        <f>(IF(K86&lt;14,0,IF(K86&lt;21,'Vstupní hodnoty'!N$4,IF(K86&lt;28,'Vstupní hodnoty'!N$5,IF(K86&lt;35,'Vstupní hodnoty'!N$6,'Vstupní hodnoty'!N$6))))+IF(K86&lt;14,0,IF(AR$15&lt;2,'Vstupní hodnoty'!O$6,IF(Model!AR$3&lt;3,'Vstupní hodnoty'!O$5,IF(Model!AR$3&lt;4,'Vstupní hodnoty'!O$4,0))))+'Vstupní hodnoty'!P$5)*L86++IF(K86&lt;21, 0, (C86-20)*'Vstupní hodnoty'!$O$5*'Vstupní hodnoty'!$A$17)*Vícenáklady!L86</f>
        <v>12220.002500000001</v>
      </c>
      <c r="Q86">
        <f>('Vstupní hodnoty'!P$5+'Roční bonus alt 2'!D72)*L86+IF(K86&lt;21, 0, (C86-20)*'Vstupní hodnoty'!$O$5*'Vstupní hodnoty'!$A$17)*Vícenáklady!L86</f>
        <v>27126.666666666664</v>
      </c>
    </row>
    <row r="87" spans="3:17" x14ac:dyDescent="0.2">
      <c r="C87">
        <v>81</v>
      </c>
      <c r="D87">
        <v>0.25</v>
      </c>
      <c r="E87">
        <f>C87*(D87)*(0*$L$3+ 'Vstupní hodnoty'!H$4*$L$4+'Vstupní hodnoty'!H$5*$L$5+'Vstupní hodnoty'!H$6*$L$6+'Vstupní hodnoty'!H$7*$L$7+'Vstupní hodnoty'!H$8*$L$8)</f>
        <v>3511.35</v>
      </c>
      <c r="F87">
        <f>C87*(D87)*(0*0.25+'Vstupní hodnoty'!Q$4*0.2+'Vstupní hodnoty'!Q$5*0.25+'Vstupní hodnoty'!Q$6*0.15+'Vstupní hodnoty'!Q$7*0.1+'Vstupní hodnoty'!Q$8*0.05)</f>
        <v>4264.6499999999996</v>
      </c>
      <c r="G87">
        <f t="shared" si="7"/>
        <v>6000</v>
      </c>
      <c r="H87">
        <f>(IF(C87&lt;14,0,IF(C87&lt;21,'Vstupní hodnoty'!N$4,IF(C87&lt;28,'Vstupní hodnoty'!N$5,IF(C87&lt;35,'Vstupní hodnoty'!N$6,'Vstupní hodnoty'!N$6))))+IF(C87&lt;14,0,IF(AI$15&lt;2,'Vstupní hodnoty'!O$6,IF(Model!AI$3&lt;3,'Vstupní hodnoty'!O$5,IF(Model!AI$3&lt;4,'Vstupní hodnoty'!O$4,0))))+'Vstupní hodnoty'!P$5)*D87+IF(C87&lt;21, 0, (C87-20)*'Vstupní hodnoty'!$O$5*'Vstupní hodnoty'!$A$17)*Vícenáklady!D87</f>
        <v>12246.002500000001</v>
      </c>
      <c r="I87" s="5">
        <f>('Vstupní hodnoty'!P$5+'Roční bonus alt 2'!D73)*D87+IF(C87&lt;21, 0, (C87-20)*'Vstupní hodnoty'!$O$5*'Vstupní hodnoty'!$A$17)*Vícenáklady!D87</f>
        <v>27499.333333333336</v>
      </c>
      <c r="K87">
        <v>81</v>
      </c>
      <c r="L87">
        <v>0.25</v>
      </c>
      <c r="M87">
        <f>K87*(L87)*(0*0.25+ 'Vstupní hodnoty'!H$4*0.2+'Vstupní hodnoty'!H$5*0.25+'Vstupní hodnoty'!H$6*0.15+'Vstupní hodnoty'!H$7*0.1+'Vstupní hodnoty'!H$8*0.05)</f>
        <v>3511.35</v>
      </c>
      <c r="N87">
        <f>K87*(L87)*(0*L$3+'Vstupní hodnoty'!Q$4*L$4+'Vstupní hodnoty'!Q$5*$L$5+'Vstupní hodnoty'!Q$6*$L$6+'Vstupní hodnoty'!Q$7*$L$7+'Vstupní hodnoty'!Q$8*$L$8)</f>
        <v>4264.6499999999996</v>
      </c>
      <c r="O87">
        <f t="shared" si="8"/>
        <v>6000</v>
      </c>
      <c r="P87">
        <f>(IF(K87&lt;14,0,IF(K87&lt;21,'Vstupní hodnoty'!N$4,IF(K87&lt;28,'Vstupní hodnoty'!N$5,IF(K87&lt;35,'Vstupní hodnoty'!N$6,'Vstupní hodnoty'!N$6))))+IF(K87&lt;14,0,IF(AR$15&lt;2,'Vstupní hodnoty'!O$6,IF(Model!AR$3&lt;3,'Vstupní hodnoty'!O$5,IF(Model!AR$3&lt;4,'Vstupní hodnoty'!O$4,0))))+'Vstupní hodnoty'!P$5)*L87++IF(K87&lt;21, 0, (C87-20)*'Vstupní hodnoty'!$O$5*'Vstupní hodnoty'!$A$17)*Vícenáklady!L87</f>
        <v>12246.002500000001</v>
      </c>
      <c r="Q87">
        <f>('Vstupní hodnoty'!P$5+'Roční bonus alt 2'!D73)*L87+IF(K87&lt;21, 0, (C87-20)*'Vstupní hodnoty'!$O$5*'Vstupní hodnoty'!$A$17)*Vícenáklady!L87</f>
        <v>27499.333333333336</v>
      </c>
    </row>
    <row r="88" spans="3:17" x14ac:dyDescent="0.2">
      <c r="C88">
        <v>82</v>
      </c>
      <c r="D88">
        <v>0.25</v>
      </c>
      <c r="E88">
        <f>C88*(D88)*(0*$L$3+ 'Vstupní hodnoty'!H$4*$L$4+'Vstupní hodnoty'!H$5*$L$5+'Vstupní hodnoty'!H$6*$L$6+'Vstupní hodnoty'!H$7*$L$7+'Vstupní hodnoty'!H$8*$L$8)</f>
        <v>3554.7000000000003</v>
      </c>
      <c r="F88">
        <f>C88*(D88)*(0*0.25+'Vstupní hodnoty'!Q$4*0.2+'Vstupní hodnoty'!Q$5*0.25+'Vstupní hodnoty'!Q$6*0.15+'Vstupní hodnoty'!Q$7*0.1+'Vstupní hodnoty'!Q$8*0.05)</f>
        <v>4317.3</v>
      </c>
      <c r="G88">
        <f t="shared" si="7"/>
        <v>6000</v>
      </c>
      <c r="H88">
        <f>(IF(C88&lt;14,0,IF(C88&lt;21,'Vstupní hodnoty'!N$4,IF(C88&lt;28,'Vstupní hodnoty'!N$5,IF(C88&lt;35,'Vstupní hodnoty'!N$6,'Vstupní hodnoty'!N$6))))+IF(C88&lt;14,0,IF(AI$15&lt;2,'Vstupní hodnoty'!O$6,IF(Model!AI$3&lt;3,'Vstupní hodnoty'!O$5,IF(Model!AI$3&lt;4,'Vstupní hodnoty'!O$4,0))))+'Vstupní hodnoty'!P$5)*D88+IF(C88&lt;21, 0, (C88-20)*'Vstupní hodnoty'!$O$5*'Vstupní hodnoty'!$A$17)*Vícenáklady!D88</f>
        <v>12272.002500000001</v>
      </c>
      <c r="I88" s="5">
        <f>('Vstupní hodnoty'!P$5+'Roční bonus alt 2'!D74)*D88+IF(C88&lt;21, 0, (C88-20)*'Vstupní hodnoty'!$O$5*'Vstupní hodnoty'!$A$17)*Vícenáklady!D88</f>
        <v>27872</v>
      </c>
      <c r="K88">
        <v>82</v>
      </c>
      <c r="L88">
        <v>0.25</v>
      </c>
      <c r="M88">
        <f>K88*(L88)*(0*0.25+ 'Vstupní hodnoty'!H$4*0.2+'Vstupní hodnoty'!H$5*0.25+'Vstupní hodnoty'!H$6*0.15+'Vstupní hodnoty'!H$7*0.1+'Vstupní hodnoty'!H$8*0.05)</f>
        <v>3554.7000000000003</v>
      </c>
      <c r="N88">
        <f>K88*(L88)*(0*L$3+'Vstupní hodnoty'!Q$4*L$4+'Vstupní hodnoty'!Q$5*$L$5+'Vstupní hodnoty'!Q$6*$L$6+'Vstupní hodnoty'!Q$7*$L$7+'Vstupní hodnoty'!Q$8*$L$8)</f>
        <v>4317.3</v>
      </c>
      <c r="O88">
        <f t="shared" si="8"/>
        <v>6000</v>
      </c>
      <c r="P88">
        <f>(IF(K88&lt;14,0,IF(K88&lt;21,'Vstupní hodnoty'!N$4,IF(K88&lt;28,'Vstupní hodnoty'!N$5,IF(K88&lt;35,'Vstupní hodnoty'!N$6,'Vstupní hodnoty'!N$6))))+IF(K88&lt;14,0,IF(AR$15&lt;2,'Vstupní hodnoty'!O$6,IF(Model!AR$3&lt;3,'Vstupní hodnoty'!O$5,IF(Model!AR$3&lt;4,'Vstupní hodnoty'!O$4,0))))+'Vstupní hodnoty'!P$5)*L88++IF(K88&lt;21, 0, (C88-20)*'Vstupní hodnoty'!$O$5*'Vstupní hodnoty'!$A$17)*Vícenáklady!L88</f>
        <v>12272.002500000001</v>
      </c>
      <c r="Q88">
        <f>('Vstupní hodnoty'!P$5+'Roční bonus alt 2'!D74)*L88+IF(K88&lt;21, 0, (C88-20)*'Vstupní hodnoty'!$O$5*'Vstupní hodnoty'!$A$17)*Vícenáklady!L88</f>
        <v>27872</v>
      </c>
    </row>
    <row r="89" spans="3:17" x14ac:dyDescent="0.2">
      <c r="C89">
        <v>83</v>
      </c>
      <c r="D89">
        <v>0.25</v>
      </c>
      <c r="E89">
        <f>C89*(D89)*(0*$L$3+ 'Vstupní hodnoty'!H$4*$L$4+'Vstupní hodnoty'!H$5*$L$5+'Vstupní hodnoty'!H$6*$L$6+'Vstupní hodnoty'!H$7*$L$7+'Vstupní hodnoty'!H$8*$L$8)</f>
        <v>3598.05</v>
      </c>
      <c r="F89">
        <f>C89*(D89)*(0*0.25+'Vstupní hodnoty'!Q$4*0.2+'Vstupní hodnoty'!Q$5*0.25+'Vstupní hodnoty'!Q$6*0.15+'Vstupní hodnoty'!Q$7*0.1+'Vstupní hodnoty'!Q$8*0.05)</f>
        <v>4369.95</v>
      </c>
      <c r="G89">
        <f t="shared" si="7"/>
        <v>6000</v>
      </c>
      <c r="H89">
        <f>(IF(C89&lt;14,0,IF(C89&lt;21,'Vstupní hodnoty'!N$4,IF(C89&lt;28,'Vstupní hodnoty'!N$5,IF(C89&lt;35,'Vstupní hodnoty'!N$6,'Vstupní hodnoty'!N$6))))+IF(C89&lt;14,0,IF(AI$15&lt;2,'Vstupní hodnoty'!O$6,IF(Model!AI$3&lt;3,'Vstupní hodnoty'!O$5,IF(Model!AI$3&lt;4,'Vstupní hodnoty'!O$4,0))))+'Vstupní hodnoty'!P$5)*D89+IF(C89&lt;21, 0, (C89-20)*'Vstupní hodnoty'!$O$5*'Vstupní hodnoty'!$A$17)*Vícenáklady!D89</f>
        <v>12298.002500000001</v>
      </c>
      <c r="I89" s="5">
        <f>('Vstupní hodnoty'!P$5+'Roční bonus alt 2'!D75)*D89+IF(C89&lt;21, 0, (C89-20)*'Vstupní hodnoty'!$O$5*'Vstupní hodnoty'!$A$17)*Vícenáklady!D89</f>
        <v>28244.666666666664</v>
      </c>
      <c r="K89">
        <v>83</v>
      </c>
      <c r="L89">
        <v>0.25</v>
      </c>
      <c r="M89">
        <f>K89*(L89)*(0*0.25+ 'Vstupní hodnoty'!H$4*0.2+'Vstupní hodnoty'!H$5*0.25+'Vstupní hodnoty'!H$6*0.15+'Vstupní hodnoty'!H$7*0.1+'Vstupní hodnoty'!H$8*0.05)</f>
        <v>3598.05</v>
      </c>
      <c r="N89">
        <f>K89*(L89)*(0*L$3+'Vstupní hodnoty'!Q$4*L$4+'Vstupní hodnoty'!Q$5*$L$5+'Vstupní hodnoty'!Q$6*$L$6+'Vstupní hodnoty'!Q$7*$L$7+'Vstupní hodnoty'!Q$8*$L$8)</f>
        <v>4369.95</v>
      </c>
      <c r="O89">
        <f t="shared" si="8"/>
        <v>6000</v>
      </c>
      <c r="P89">
        <f>(IF(K89&lt;14,0,IF(K89&lt;21,'Vstupní hodnoty'!N$4,IF(K89&lt;28,'Vstupní hodnoty'!N$5,IF(K89&lt;35,'Vstupní hodnoty'!N$6,'Vstupní hodnoty'!N$6))))+IF(K89&lt;14,0,IF(AR$15&lt;2,'Vstupní hodnoty'!O$6,IF(Model!AR$3&lt;3,'Vstupní hodnoty'!O$5,IF(Model!AR$3&lt;4,'Vstupní hodnoty'!O$4,0))))+'Vstupní hodnoty'!P$5)*L89++IF(K89&lt;21, 0, (C89-20)*'Vstupní hodnoty'!$O$5*'Vstupní hodnoty'!$A$17)*Vícenáklady!L89</f>
        <v>12298.002500000001</v>
      </c>
      <c r="Q89">
        <f>('Vstupní hodnoty'!P$5+'Roční bonus alt 2'!D75)*L89+IF(K89&lt;21, 0, (C89-20)*'Vstupní hodnoty'!$O$5*'Vstupní hodnoty'!$A$17)*Vícenáklady!L89</f>
        <v>28244.666666666664</v>
      </c>
    </row>
    <row r="90" spans="3:17" x14ac:dyDescent="0.2">
      <c r="C90">
        <v>84</v>
      </c>
      <c r="D90">
        <v>1</v>
      </c>
      <c r="E90">
        <f>C90*(D90)*(0*$L$3+ 'Vstupní hodnoty'!H$4*$L$4+'Vstupní hodnoty'!H$5*$L$5+'Vstupní hodnoty'!H$6*$L$6+'Vstupní hodnoty'!H$7*$L$7+'Vstupní hodnoty'!H$8*$L$8)</f>
        <v>14565.6</v>
      </c>
      <c r="F90">
        <f>C90*(D90)*(0*0.25+'Vstupní hodnoty'!Q$4*0.2+'Vstupní hodnoty'!Q$5*0.25+'Vstupní hodnoty'!Q$6*0.15+'Vstupní hodnoty'!Q$7*0.1+'Vstupní hodnoty'!Q$8*0.05)</f>
        <v>17690.399999999998</v>
      </c>
      <c r="G90">
        <f t="shared" si="7"/>
        <v>24000</v>
      </c>
      <c r="H90">
        <f>(IF(C90&lt;14,0,IF(C90&lt;21,'Vstupní hodnoty'!N$4,IF(C90&lt;28,'Vstupní hodnoty'!N$5,IF(C90&lt;35,'Vstupní hodnoty'!N$6,'Vstupní hodnoty'!N$6))))+IF(C90&lt;14,0,IF(AI$15&lt;2,'Vstupní hodnoty'!O$6,IF(Model!AI$3&lt;3,'Vstupní hodnoty'!O$5,IF(Model!AI$3&lt;4,'Vstupní hodnoty'!O$4,0))))+'Vstupní hodnoty'!P$5)*D90+IF(C90&lt;21, 0, (C90-20)*'Vstupní hodnoty'!$O$5*'Vstupní hodnoty'!$A$17)*Vícenáklady!D90</f>
        <v>49296.01</v>
      </c>
      <c r="I90" s="5">
        <f>('Vstupní hodnoty'!P$5+'Roční bonus alt 2'!D76)*D90+IF(C90&lt;21, 0, (C90-20)*'Vstupní hodnoty'!$O$5*'Vstupní hodnoty'!$A$17)*Vícenáklady!D90</f>
        <v>114469.33333333334</v>
      </c>
      <c r="K90">
        <v>84</v>
      </c>
      <c r="L90">
        <v>1.5</v>
      </c>
      <c r="M90">
        <f>K90*(L90)*(0*0.25+ 'Vstupní hodnoty'!H$4*0.2+'Vstupní hodnoty'!H$5*0.25+'Vstupní hodnoty'!H$6*0.15+'Vstupní hodnoty'!H$7*0.1+'Vstupní hodnoty'!H$8*0.05)</f>
        <v>21848.400000000001</v>
      </c>
      <c r="N90">
        <f>K90*(L90)*(0*L$3+'Vstupní hodnoty'!Q$4*L$4+'Vstupní hodnoty'!Q$5*$L$5+'Vstupní hodnoty'!Q$6*$L$6+'Vstupní hodnoty'!Q$7*$L$7+'Vstupní hodnoty'!Q$8*$L$8)</f>
        <v>26535.599999999999</v>
      </c>
      <c r="O90">
        <f t="shared" si="8"/>
        <v>36000</v>
      </c>
      <c r="P90">
        <f>(IF(K90&lt;14,0,IF(K90&lt;21,'Vstupní hodnoty'!N$4,IF(K90&lt;28,'Vstupní hodnoty'!N$5,IF(K90&lt;35,'Vstupní hodnoty'!N$6,'Vstupní hodnoty'!N$6))))+IF(K90&lt;14,0,IF(AR$15&lt;2,'Vstupní hodnoty'!O$6,IF(Model!AR$3&lt;3,'Vstupní hodnoty'!O$5,IF(Model!AR$3&lt;4,'Vstupní hodnoty'!O$4,0))))+'Vstupní hodnoty'!P$5)*L90++IF(K90&lt;21, 0, (C90-20)*'Vstupní hodnoty'!$O$5*'Vstupní hodnoty'!$A$17)*Vícenáklady!L90</f>
        <v>73944.014999999999</v>
      </c>
      <c r="Q90">
        <f>('Vstupní hodnoty'!P$5+'Roční bonus alt 2'!D76)*L90+IF(K90&lt;21, 0, (C90-20)*'Vstupní hodnoty'!$O$5*'Vstupní hodnoty'!$A$17)*Vícenáklady!L90</f>
        <v>171704</v>
      </c>
    </row>
    <row r="91" spans="3:17" x14ac:dyDescent="0.2">
      <c r="C91" t="s">
        <v>44</v>
      </c>
      <c r="D91">
        <f t="shared" ref="D91:I91" si="9">SUM(D19:D90)</f>
        <v>100</v>
      </c>
      <c r="E91">
        <f t="shared" si="9"/>
        <v>481878.6</v>
      </c>
      <c r="F91">
        <f t="shared" si="9"/>
        <v>585257.4</v>
      </c>
      <c r="G91">
        <f t="shared" si="9"/>
        <v>2052000</v>
      </c>
      <c r="H91">
        <f t="shared" si="9"/>
        <v>3143296.9499999951</v>
      </c>
      <c r="I91">
        <f t="shared" si="9"/>
        <v>3062176</v>
      </c>
      <c r="K91" t="s">
        <v>44</v>
      </c>
      <c r="L91">
        <f t="shared" ref="L91:Q91" si="10">SUM(L19:L90)</f>
        <v>100</v>
      </c>
      <c r="M91">
        <f t="shared" si="10"/>
        <v>590470.35</v>
      </c>
      <c r="N91">
        <f t="shared" si="10"/>
        <v>717145.65</v>
      </c>
      <c r="O91">
        <f t="shared" si="10"/>
        <v>2160000</v>
      </c>
      <c r="P91">
        <f t="shared" si="10"/>
        <v>3648242.9499999951</v>
      </c>
      <c r="Q91">
        <f t="shared" si="10"/>
        <v>3988321.9999999995</v>
      </c>
    </row>
    <row r="92" spans="3:17" x14ac:dyDescent="0.2">
      <c r="C92" t="s">
        <v>52</v>
      </c>
      <c r="D92" s="23">
        <f>SUMPRODUCT(C20:C90,D20:D90)/SUM(D20:D90)</f>
        <v>28.726315789473684</v>
      </c>
      <c r="I92" s="5"/>
      <c r="K92" t="s">
        <v>52</v>
      </c>
      <c r="L92" s="23">
        <f>SUMPRODUCT(K20:K90,L20:L90)/SUM(L20:L90)</f>
        <v>35.318421052631578</v>
      </c>
    </row>
    <row r="93" spans="3:17" x14ac:dyDescent="0.2">
      <c r="D93" s="23"/>
      <c r="I93" s="5"/>
      <c r="L93" s="23"/>
    </row>
    <row r="95" spans="3:17" ht="51" x14ac:dyDescent="0.2">
      <c r="E95" s="6" t="s">
        <v>45</v>
      </c>
      <c r="F95" s="6" t="s">
        <v>46</v>
      </c>
      <c r="M95" s="6" t="s">
        <v>45</v>
      </c>
      <c r="N95" s="6" t="s">
        <v>46</v>
      </c>
    </row>
    <row r="96" spans="3:17" x14ac:dyDescent="0.2">
      <c r="C96" t="s">
        <v>57</v>
      </c>
      <c r="D96">
        <v>5</v>
      </c>
      <c r="E96" s="24">
        <f>SUM(E19)*100</f>
        <v>867000</v>
      </c>
      <c r="F96" s="24">
        <f>SUM(F19)*100</f>
        <v>1053000</v>
      </c>
      <c r="G96" s="24">
        <f>SUM(G19)*100</f>
        <v>0</v>
      </c>
      <c r="H96" s="24">
        <f>SUM(H19)*100</f>
        <v>0</v>
      </c>
      <c r="I96" s="24">
        <f>SUM(I19)*100</f>
        <v>0</v>
      </c>
      <c r="K96" t="s">
        <v>57</v>
      </c>
      <c r="L96">
        <v>5</v>
      </c>
      <c r="M96" s="22">
        <f>SUM(M19)*100</f>
        <v>867000</v>
      </c>
      <c r="N96" s="22">
        <f>SUM(N19)*100</f>
        <v>1053000</v>
      </c>
      <c r="O96" s="22">
        <f>SUM(O19)*100</f>
        <v>0</v>
      </c>
      <c r="P96" s="22">
        <f>SUM(P19)*100</f>
        <v>0</v>
      </c>
      <c r="Q96" s="22">
        <f>SUM(Q19)*100</f>
        <v>0</v>
      </c>
    </row>
    <row r="97" spans="3:17" x14ac:dyDescent="0.2">
      <c r="C97" t="s">
        <v>48</v>
      </c>
      <c r="D97">
        <f>SUM(D$20:D$26)</f>
        <v>38</v>
      </c>
      <c r="E97" s="24">
        <f>SUM(E$20:E$26)*100</f>
        <v>10664100</v>
      </c>
      <c r="F97" s="24">
        <f>SUM(F20:F26)*100</f>
        <v>12951900</v>
      </c>
      <c r="G97" s="24">
        <f>SUM(G20:G26)*100</f>
        <v>68400000</v>
      </c>
      <c r="H97" s="24">
        <f>SUM(H20:H26)*100</f>
        <v>82992038</v>
      </c>
      <c r="I97" s="24">
        <f>SUM(I20:I26)*100</f>
        <v>52346666.666666672</v>
      </c>
      <c r="K97" t="s">
        <v>48</v>
      </c>
      <c r="L97">
        <f>SUM($L$20:$L$26)</f>
        <v>20</v>
      </c>
      <c r="M97" s="22">
        <f>SUM(M20:M26)*100</f>
        <v>5652840</v>
      </c>
      <c r="N97" s="22">
        <f>SUM(N20:N26)*100</f>
        <v>6865560.0000000009</v>
      </c>
      <c r="O97" s="22">
        <f>SUM(O20:O26)*100</f>
        <v>36000000</v>
      </c>
      <c r="P97" s="22">
        <f>SUM(P20:P26)*100</f>
        <v>43680020</v>
      </c>
      <c r="Q97" s="22">
        <f>SUM(Q20:Q26)*100</f>
        <v>27872000</v>
      </c>
    </row>
    <row r="98" spans="3:17" x14ac:dyDescent="0.2">
      <c r="C98" t="s">
        <v>49</v>
      </c>
      <c r="D98">
        <f>SUM(D$27:D$40)</f>
        <v>35</v>
      </c>
      <c r="E98" s="24">
        <f>SUM(E$27:E$40)*100</f>
        <v>16264919.999999998</v>
      </c>
      <c r="F98" s="24">
        <f>SUM(F27:F40)*100</f>
        <v>19754280</v>
      </c>
      <c r="G98" s="24">
        <f>SUM(G27:G40)*100</f>
        <v>84000000</v>
      </c>
      <c r="H98" s="24">
        <f>SUM(H27:H40)*100</f>
        <v>129875235.00000001</v>
      </c>
      <c r="I98" s="24">
        <f>SUM(I27:I40)*100</f>
        <v>102211200</v>
      </c>
      <c r="K98" t="s">
        <v>49</v>
      </c>
      <c r="L98">
        <f>SUM($L$27:$L$40)</f>
        <v>35</v>
      </c>
      <c r="M98" s="22">
        <f>SUM(M27:M40)*100</f>
        <v>17114580</v>
      </c>
      <c r="N98" s="22">
        <f>SUM(N27:N40)*100</f>
        <v>20786220</v>
      </c>
      <c r="O98" s="22">
        <f>SUM(O27:O40)*100</f>
        <v>84000000</v>
      </c>
      <c r="P98" s="22">
        <f>SUM(P27:P40)*100</f>
        <v>137664835</v>
      </c>
      <c r="Q98" s="22">
        <f>SUM(Q27:Q40)*100</f>
        <v>109515466.66666667</v>
      </c>
    </row>
    <row r="99" spans="3:17" x14ac:dyDescent="0.2">
      <c r="C99" t="s">
        <v>50</v>
      </c>
      <c r="D99">
        <f>SUM(D$41:D$54)</f>
        <v>10.5</v>
      </c>
      <c r="E99" s="24">
        <f>SUM(E41:E54)*100</f>
        <v>7343490.0000000009</v>
      </c>
      <c r="F99" s="24">
        <f>SUM(F41:F54)*100</f>
        <v>8918910</v>
      </c>
      <c r="G99" s="24">
        <f>SUM(G41:G54)*100</f>
        <v>25200000</v>
      </c>
      <c r="H99" s="24">
        <f>SUM(H41:H54)*100</f>
        <v>46992410.500000007</v>
      </c>
      <c r="I99" s="24">
        <f>SUM(I41:I54)*100</f>
        <v>51845733.333333336</v>
      </c>
      <c r="K99" t="s">
        <v>50</v>
      </c>
      <c r="L99">
        <f>SUM($L$41:$L$54)</f>
        <v>21</v>
      </c>
      <c r="M99" s="22">
        <f>SUM(M41:M54)*100</f>
        <v>14686980.000000002</v>
      </c>
      <c r="N99" s="22">
        <f>SUM(N41:N54)*100</f>
        <v>17837820</v>
      </c>
      <c r="O99" s="22">
        <f>SUM(O41:O54)*100</f>
        <v>50400000</v>
      </c>
      <c r="P99" s="22">
        <f>SUM(P41:P54)*100</f>
        <v>93984821.000000015</v>
      </c>
      <c r="Q99" s="22">
        <f>SUM(Q41:Q54)*100</f>
        <v>103691466.66666667</v>
      </c>
    </row>
    <row r="100" spans="3:17" x14ac:dyDescent="0.2">
      <c r="C100" t="s">
        <v>51</v>
      </c>
      <c r="D100">
        <f>SUM(D$55:D$90)</f>
        <v>11.5</v>
      </c>
      <c r="E100" s="24">
        <f>SUM(E55:E90)*100</f>
        <v>13048350</v>
      </c>
      <c r="F100" s="24">
        <f>SUM(F55:F90)*100</f>
        <v>15847650</v>
      </c>
      <c r="G100" s="24">
        <f>SUM(G55:G90)*100</f>
        <v>27600000</v>
      </c>
      <c r="H100" s="24">
        <f>SUM(H55:H90)*100</f>
        <v>54470011.5</v>
      </c>
      <c r="I100" s="24">
        <f>SUM(I55:I90)*100</f>
        <v>99814000</v>
      </c>
      <c r="K100" t="s">
        <v>51</v>
      </c>
      <c r="L100">
        <f>SUM($L$55:$L$90)</f>
        <v>19</v>
      </c>
      <c r="M100" s="22">
        <f>SUM(M55:M90)*100</f>
        <v>20725634.999999996</v>
      </c>
      <c r="N100" s="22">
        <f>SUM(N55:N90)*100</f>
        <v>25171965</v>
      </c>
      <c r="O100" s="22">
        <f>SUM(O55:O90)*100</f>
        <v>45600000</v>
      </c>
      <c r="P100" s="22">
        <f>SUM(P55:P90)*100</f>
        <v>89494618.999999925</v>
      </c>
      <c r="Q100" s="22">
        <f>SUM(Q55:Q90)*100</f>
        <v>157753266.66666669</v>
      </c>
    </row>
    <row r="101" spans="3:17" x14ac:dyDescent="0.2">
      <c r="C101" t="s">
        <v>44</v>
      </c>
      <c r="D101">
        <f>SUM(D96:D100)</f>
        <v>100</v>
      </c>
      <c r="E101" s="24">
        <f>SUM(E97:E100)</f>
        <v>47320860</v>
      </c>
      <c r="F101" s="24">
        <f>SUM(F97:F100)</f>
        <v>57472740</v>
      </c>
      <c r="G101" s="24">
        <f>SUM(G97:G100)</f>
        <v>205200000</v>
      </c>
      <c r="H101" s="24">
        <f>SUM(H97:H100)</f>
        <v>314329695</v>
      </c>
      <c r="I101" s="24">
        <f>SUM(I97:I100)</f>
        <v>306217600</v>
      </c>
      <c r="K101" t="s">
        <v>44</v>
      </c>
      <c r="L101">
        <f>SUM($L$96:$L$100)</f>
        <v>100</v>
      </c>
      <c r="M101" s="22">
        <f>SUM(M97:M100)</f>
        <v>58180035</v>
      </c>
      <c r="N101" s="22">
        <f>SUM(N97:N100)</f>
        <v>70661565</v>
      </c>
      <c r="O101" s="22">
        <f>SUM(O97:O100)</f>
        <v>216000000</v>
      </c>
      <c r="P101" s="22">
        <f>SUM(P97:P100)</f>
        <v>364824294.99999994</v>
      </c>
      <c r="Q101" s="22">
        <f>SUM(Q97:Q100)</f>
        <v>398832200.00000006</v>
      </c>
    </row>
    <row r="102" spans="3:17" x14ac:dyDescent="0.2">
      <c r="C102" t="s">
        <v>56</v>
      </c>
      <c r="E102" s="23">
        <v>100</v>
      </c>
      <c r="F102" s="23">
        <f>F101/E101*100</f>
        <v>121.45328719723183</v>
      </c>
      <c r="G102" s="23">
        <v>100</v>
      </c>
      <c r="H102" s="23">
        <f>H101/G101*100</f>
        <v>153.1821125730994</v>
      </c>
      <c r="I102" s="23">
        <f>I101/G101*100</f>
        <v>149.22884990253411</v>
      </c>
      <c r="K102" t="s">
        <v>56</v>
      </c>
      <c r="L102" s="5"/>
      <c r="M102" s="23">
        <v>100</v>
      </c>
      <c r="N102" s="23">
        <f>N101/M101*100</f>
        <v>121.45328719723183</v>
      </c>
      <c r="O102" s="23">
        <v>100</v>
      </c>
      <c r="P102" s="23">
        <f>P101/O101*100</f>
        <v>168.90013657407405</v>
      </c>
      <c r="Q102" s="23">
        <f>Q101/O101*100</f>
        <v>184.64453703703708</v>
      </c>
    </row>
    <row r="103" spans="3:17" x14ac:dyDescent="0.2">
      <c r="E103" s="23"/>
      <c r="F103" s="23"/>
      <c r="G103" s="23"/>
      <c r="H103" s="23"/>
      <c r="I103" s="23"/>
    </row>
    <row r="104" spans="3:17" x14ac:dyDescent="0.2">
      <c r="E104" s="23"/>
      <c r="F104" s="23"/>
      <c r="G104" s="23"/>
      <c r="H104" s="23"/>
      <c r="I104" s="23"/>
    </row>
    <row r="106" spans="3:17" x14ac:dyDescent="0.2">
      <c r="E106" s="23"/>
      <c r="F106" s="23"/>
      <c r="H106" s="23"/>
      <c r="I106" s="23"/>
    </row>
  </sheetData>
  <mergeCells count="3">
    <mergeCell ref="K10:M12"/>
    <mergeCell ref="B3:B8"/>
    <mergeCell ref="B10:B15"/>
  </mergeCells>
  <conditionalFormatting sqref="D3:D7 D10:D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{4B0D5F17-762E-054A-887F-9A17318E71F4}</x14:id>
        </ext>
      </extLst>
    </cfRule>
  </conditionalFormatting>
  <conditionalFormatting sqref="H3:I8 H10:I1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{7CBE482D-0EB3-334A-83C3-F1C75F15B2B0}</x14:id>
        </ext>
      </extLst>
    </cfRule>
  </conditionalFormatting>
  <conditionalFormatting sqref="H16:I16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{17693946-AE7F-B443-A494-F0441AF3D6DE}</x14:id>
        </ext>
      </extLst>
    </cfRule>
  </conditionalFormatting>
  <conditionalFormatting sqref="L9">
    <cfRule type="cellIs" dxfId="2" priority="3" operator="lessThan">
      <formula>1</formula>
    </cfRule>
    <cfRule type="cellIs" dxfId="1" priority="4" operator="greaterThan">
      <formula>1</formula>
    </cfRule>
    <cfRule type="cellIs" dxfId="0" priority="5" operator="equal">
      <formula>1</formula>
    </cfRule>
  </conditionalFormatting>
  <dataValidations count="1">
    <dataValidation type="decimal" allowBlank="1" showInputMessage="1" showErrorMessage="1" sqref="L3:L8" xr:uid="{6ED7DB00-30ED-5C47-985B-F1A73D8C72D4}">
      <formula1>0</formula1>
      <formula2>1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0D5F17-762E-054A-887F-9A17318E71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D3:D7 D10:D14</xm:sqref>
        </x14:conditionalFormatting>
        <x14:conditionalFormatting xmlns:xm="http://schemas.microsoft.com/office/excel/2006/main">
          <x14:cfRule type="dataBar" id="{7CBE482D-0EB3-334A-83C3-F1C75F15B2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H3:I8 H10:I15</xm:sqref>
        </x14:conditionalFormatting>
        <x14:conditionalFormatting xmlns:xm="http://schemas.microsoft.com/office/excel/2006/main">
          <x14:cfRule type="dataBar" id="{17693946-AE7F-B443-A494-F0441AF3D6D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H16:I16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67E7-BA0D-F44D-A035-8F8695BAC2EE}">
  <dimension ref="A1:G34"/>
  <sheetViews>
    <sheetView topLeftCell="A15" workbookViewId="0">
      <selection activeCell="J28" sqref="J28"/>
    </sheetView>
  </sheetViews>
  <sheetFormatPr baseColWidth="10" defaultRowHeight="16" x14ac:dyDescent="0.2"/>
  <cols>
    <col min="1" max="1" width="11.1640625" style="80" bestFit="1" customWidth="1"/>
    <col min="2" max="2" width="13.33203125" style="80" customWidth="1"/>
    <col min="3" max="7" width="12.83203125" style="80" customWidth="1"/>
  </cols>
  <sheetData>
    <row r="1" spans="1:7" ht="17" thickBot="1" x14ac:dyDescent="0.25">
      <c r="A1" s="84"/>
      <c r="B1" s="84"/>
      <c r="C1" s="84"/>
      <c r="D1" s="84"/>
      <c r="E1" s="84"/>
      <c r="F1" s="84"/>
      <c r="G1" s="84"/>
    </row>
    <row r="2" spans="1:7" ht="17" thickTop="1" x14ac:dyDescent="0.2">
      <c r="A2" s="85"/>
      <c r="B2" s="86"/>
      <c r="C2" s="87"/>
      <c r="D2" s="87"/>
      <c r="E2" s="87"/>
      <c r="F2" s="87"/>
      <c r="G2" s="87"/>
    </row>
    <row r="3" spans="1:7" x14ac:dyDescent="0.2">
      <c r="A3" s="88"/>
      <c r="B3" s="89"/>
      <c r="C3" s="5"/>
      <c r="D3" s="5"/>
      <c r="E3" s="5"/>
      <c r="F3" s="5"/>
      <c r="G3" s="5"/>
    </row>
    <row r="4" spans="1:7" x14ac:dyDescent="0.2">
      <c r="A4" s="88"/>
      <c r="B4" s="89"/>
      <c r="C4" s="5"/>
      <c r="D4" s="5"/>
      <c r="E4" s="5"/>
      <c r="F4" s="5"/>
      <c r="G4" s="5"/>
    </row>
    <row r="5" spans="1:7" x14ac:dyDescent="0.2">
      <c r="A5" s="88"/>
      <c r="B5" s="89"/>
      <c r="C5" s="5"/>
      <c r="D5" s="5"/>
      <c r="E5" s="5"/>
      <c r="F5" s="5"/>
      <c r="G5" s="5"/>
    </row>
    <row r="6" spans="1:7" x14ac:dyDescent="0.2">
      <c r="A6" s="88"/>
      <c r="B6" s="89"/>
      <c r="C6" s="5"/>
      <c r="D6" s="5"/>
      <c r="E6" s="5"/>
      <c r="F6" s="5"/>
      <c r="G6" s="5"/>
    </row>
    <row r="7" spans="1:7" x14ac:dyDescent="0.2">
      <c r="A7" s="88"/>
      <c r="B7" s="89"/>
      <c r="C7" s="5"/>
      <c r="D7" s="5"/>
      <c r="E7" s="5"/>
      <c r="F7" s="5"/>
      <c r="G7" s="5"/>
    </row>
    <row r="8" spans="1:7" x14ac:dyDescent="0.2">
      <c r="A8" s="88"/>
      <c r="B8" s="89"/>
      <c r="C8" s="5"/>
      <c r="D8" s="5"/>
      <c r="E8" s="5"/>
      <c r="F8" s="5"/>
      <c r="G8" s="5"/>
    </row>
    <row r="9" spans="1:7" x14ac:dyDescent="0.2">
      <c r="A9" s="90"/>
      <c r="B9" s="9"/>
      <c r="C9"/>
      <c r="D9" s="91"/>
      <c r="E9" s="5"/>
      <c r="F9" s="5"/>
      <c r="G9" s="5"/>
    </row>
    <row r="10" spans="1:7" x14ac:dyDescent="0.2">
      <c r="A10" s="90"/>
      <c r="B10" s="9"/>
      <c r="C10"/>
      <c r="D10"/>
      <c r="E10"/>
      <c r="F10" s="5"/>
      <c r="G10" s="5"/>
    </row>
    <row r="11" spans="1:7" x14ac:dyDescent="0.2">
      <c r="A11" s="90"/>
      <c r="B11" s="9"/>
      <c r="C11"/>
      <c r="D11"/>
      <c r="E11"/>
      <c r="F11" s="5"/>
      <c r="G11" s="5"/>
    </row>
    <row r="12" spans="1:7" x14ac:dyDescent="0.2">
      <c r="A12" s="90"/>
      <c r="B12" s="9"/>
      <c r="C12"/>
      <c r="D12" s="91"/>
      <c r="E12" s="5"/>
      <c r="F12" s="5"/>
      <c r="G12" s="5"/>
    </row>
    <row r="13" spans="1:7" ht="17" thickBot="1" x14ac:dyDescent="0.25">
      <c r="A13" s="92"/>
      <c r="B13" s="93"/>
      <c r="C13" s="21"/>
      <c r="D13" s="94"/>
      <c r="E13" s="20"/>
      <c r="F13" s="20"/>
      <c r="G13" s="20"/>
    </row>
    <row r="14" spans="1:7" ht="17" thickTop="1" x14ac:dyDescent="0.2">
      <c r="B14"/>
      <c r="C14"/>
      <c r="D14" s="83"/>
      <c r="E14" s="5"/>
      <c r="F14" s="5"/>
      <c r="G14" s="5"/>
    </row>
    <row r="15" spans="1:7" x14ac:dyDescent="0.2">
      <c r="D15" s="81"/>
    </row>
    <row r="16" spans="1:7" x14ac:dyDescent="0.2">
      <c r="D16" s="81"/>
    </row>
    <row r="17" spans="4:4" ht="18" x14ac:dyDescent="0.2">
      <c r="D17" s="82"/>
    </row>
    <row r="18" spans="4:4" x14ac:dyDescent="0.2">
      <c r="D18" s="81"/>
    </row>
    <row r="19" spans="4:4" x14ac:dyDescent="0.2">
      <c r="D19" s="81"/>
    </row>
    <row r="20" spans="4:4" x14ac:dyDescent="0.2">
      <c r="D20" s="81"/>
    </row>
    <row r="21" spans="4:4" x14ac:dyDescent="0.2">
      <c r="D21" s="81"/>
    </row>
    <row r="22" spans="4:4" x14ac:dyDescent="0.2">
      <c r="D22" s="81"/>
    </row>
    <row r="23" spans="4:4" x14ac:dyDescent="0.2">
      <c r="D23" s="81"/>
    </row>
    <row r="24" spans="4:4" x14ac:dyDescent="0.2">
      <c r="D24" s="81"/>
    </row>
    <row r="25" spans="4:4" x14ac:dyDescent="0.2">
      <c r="D25" s="81"/>
    </row>
    <row r="26" spans="4:4" x14ac:dyDescent="0.2">
      <c r="D26" s="81"/>
    </row>
    <row r="27" spans="4:4" x14ac:dyDescent="0.2">
      <c r="D27" s="81"/>
    </row>
    <row r="28" spans="4:4" x14ac:dyDescent="0.2">
      <c r="D28" s="81"/>
    </row>
    <row r="29" spans="4:4" x14ac:dyDescent="0.2">
      <c r="D29" s="81"/>
    </row>
    <row r="30" spans="4:4" x14ac:dyDescent="0.2">
      <c r="D30" s="81"/>
    </row>
    <row r="31" spans="4:4" x14ac:dyDescent="0.2">
      <c r="D31" s="81"/>
    </row>
    <row r="32" spans="4:4" x14ac:dyDescent="0.2">
      <c r="D32" s="81"/>
    </row>
    <row r="33" spans="4:4" x14ac:dyDescent="0.2">
      <c r="D33" s="81"/>
    </row>
    <row r="34" spans="4:4" x14ac:dyDescent="0.2">
      <c r="D34" s="81"/>
    </row>
  </sheetData>
  <phoneticPr fontId="18" type="noConversion"/>
  <conditionalFormatting sqref="F2:F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{EEB69D16-4640-FF46-8BDC-FEDA19D74ACB}</x14:id>
        </ext>
      </extLst>
    </cfRule>
  </conditionalFormatting>
  <conditionalFormatting sqref="G2:G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{6848F894-9454-8B4E-8C0E-A91B3C162465}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B69D16-4640-FF46-8BDC-FEDA19D74A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F2:F13</xm:sqref>
        </x14:conditionalFormatting>
        <x14:conditionalFormatting xmlns:xm="http://schemas.microsoft.com/office/excel/2006/main">
          <x14:cfRule type="dataBar" id="{6848F894-9454-8B4E-8C0E-A91B3C16246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Info_intro</vt:lpstr>
      <vt:lpstr>Model</vt:lpstr>
      <vt:lpstr>Vstupní hodnoty</vt:lpstr>
      <vt:lpstr>Roční bonus alt 2</vt:lpstr>
      <vt:lpstr>Vícenáklady</vt:lpstr>
      <vt:lpstr>Sheet1</vt:lpstr>
      <vt:lpstr>Sheet1!EU_Conscription_Overview_1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Kofroň</dc:creator>
  <cp:lastModifiedBy>Jan Kofroň</cp:lastModifiedBy>
  <dcterms:created xsi:type="dcterms:W3CDTF">2025-03-09T07:47:35Z</dcterms:created>
  <dcterms:modified xsi:type="dcterms:W3CDTF">2026-05-05T10:43:43Z</dcterms:modified>
</cp:coreProperties>
</file>